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Centro" sheetId="26" r:id="rId3"/>
    <sheet name="Áncash" sheetId="18" r:id="rId4"/>
    <sheet name="Apurímac" sheetId="19" r:id="rId5"/>
    <sheet name="Ayacucho" sheetId="20" r:id="rId6"/>
    <sheet name="Huancavelica" sheetId="21" r:id="rId7"/>
    <sheet name="Huánuco" sheetId="27" r:id="rId8"/>
    <sheet name="Ica" sheetId="28" r:id="rId9"/>
    <sheet name="Junín" sheetId="29" r:id="rId10"/>
    <sheet name="Pasco" sheetId="30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Centro!$C$84:$F$84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S139" i="26" l="1"/>
  <c r="T139" i="26"/>
  <c r="T86" i="26" l="1"/>
  <c r="T87" i="26"/>
  <c r="T89" i="26"/>
  <c r="T85" i="26"/>
  <c r="T82" i="26"/>
  <c r="T83" i="26"/>
  <c r="T88" i="26"/>
  <c r="T84" i="26"/>
  <c r="M155" i="26"/>
  <c r="L155" i="26"/>
  <c r="K155" i="26"/>
  <c r="M152" i="26"/>
  <c r="L152" i="26"/>
  <c r="K152" i="26"/>
  <c r="M151" i="26"/>
  <c r="L151" i="26"/>
  <c r="K151" i="26"/>
  <c r="M148" i="26"/>
  <c r="L148" i="26"/>
  <c r="K148" i="26"/>
  <c r="K143" i="26"/>
  <c r="L143" i="26"/>
  <c r="I112" i="26" l="1"/>
  <c r="M112" i="26" s="1"/>
  <c r="I111" i="26"/>
  <c r="L111" i="26" s="1"/>
  <c r="I110" i="26"/>
  <c r="K110" i="26" s="1"/>
  <c r="I109" i="26"/>
  <c r="M109" i="26" s="1"/>
  <c r="N112" i="26"/>
  <c r="M111" i="26"/>
  <c r="N110" i="26"/>
  <c r="M110" i="26"/>
  <c r="J95" i="26"/>
  <c r="J94" i="26"/>
  <c r="J93" i="26"/>
  <c r="J92" i="26"/>
  <c r="J91" i="26"/>
  <c r="J90" i="26"/>
  <c r="J89" i="26"/>
  <c r="H95" i="26"/>
  <c r="H94" i="26"/>
  <c r="H93" i="26"/>
  <c r="H92" i="26"/>
  <c r="H91" i="26"/>
  <c r="H90" i="26"/>
  <c r="H89" i="26"/>
  <c r="F95" i="26"/>
  <c r="F94" i="26"/>
  <c r="F93" i="26"/>
  <c r="F92" i="26"/>
  <c r="F91" i="26"/>
  <c r="F90" i="26"/>
  <c r="F89" i="26"/>
  <c r="K77" i="26"/>
  <c r="K78" i="26" s="1"/>
  <c r="L77" i="26" s="1"/>
  <c r="N109" i="26" l="1"/>
  <c r="J110" i="26"/>
  <c r="L110" i="26"/>
  <c r="J112" i="26"/>
  <c r="K112" i="26"/>
  <c r="L112" i="26"/>
  <c r="J111" i="26"/>
  <c r="N111" i="26"/>
  <c r="K111" i="26"/>
  <c r="J109" i="26"/>
  <c r="K109" i="26"/>
  <c r="L109" i="26"/>
  <c r="L74" i="26"/>
  <c r="L75" i="26"/>
  <c r="L76" i="26"/>
  <c r="E66" i="26" l="1"/>
  <c r="K43" i="26" l="1"/>
  <c r="U43" i="26" s="1"/>
  <c r="E43" i="26"/>
  <c r="D43" i="26"/>
  <c r="K38" i="26"/>
  <c r="U38" i="26" s="1"/>
  <c r="E38" i="26"/>
  <c r="D38" i="26"/>
  <c r="K37" i="26"/>
  <c r="U37" i="26" s="1"/>
  <c r="E37" i="26"/>
  <c r="D37" i="26"/>
  <c r="K40" i="26"/>
  <c r="U40" i="26" s="1"/>
  <c r="E40" i="26"/>
  <c r="D40" i="26"/>
  <c r="F40" i="26" s="1"/>
  <c r="K44" i="26"/>
  <c r="U44" i="26" s="1"/>
  <c r="E44" i="26"/>
  <c r="D44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G26" i="26"/>
  <c r="S26" i="26" s="1"/>
  <c r="G25" i="26"/>
  <c r="S25" i="26" s="1"/>
  <c r="G24" i="26"/>
  <c r="S24" i="26" s="1"/>
  <c r="G23" i="26"/>
  <c r="S23" i="26" s="1"/>
  <c r="G22" i="26"/>
  <c r="S22" i="26" s="1"/>
  <c r="G21" i="26"/>
  <c r="S21" i="26" s="1"/>
  <c r="G20" i="26"/>
  <c r="S20" i="26" s="1"/>
  <c r="G19" i="26"/>
  <c r="S19" i="26" s="1"/>
  <c r="G18" i="26"/>
  <c r="S18" i="26" s="1"/>
  <c r="G17" i="26"/>
  <c r="S17" i="26" s="1"/>
  <c r="G16" i="26"/>
  <c r="S16" i="26" s="1"/>
  <c r="G15" i="26"/>
  <c r="S15" i="26" s="1"/>
  <c r="G14" i="26"/>
  <c r="S14" i="26" s="1"/>
  <c r="G13" i="26"/>
  <c r="S13" i="26" s="1"/>
  <c r="G12" i="26"/>
  <c r="S12" i="26" s="1"/>
  <c r="M121" i="26"/>
  <c r="M122" i="26"/>
  <c r="M123" i="26"/>
  <c r="M124" i="26"/>
  <c r="M125" i="26"/>
  <c r="M126" i="26"/>
  <c r="M127" i="26"/>
  <c r="M128" i="26"/>
  <c r="M129" i="26"/>
  <c r="M130" i="26"/>
  <c r="M131" i="26" s="1"/>
  <c r="M120" i="26"/>
  <c r="T18" i="26" l="1"/>
  <c r="S35" i="26"/>
  <c r="T26" i="26"/>
  <c r="S43" i="26"/>
  <c r="T19" i="26"/>
  <c r="S36" i="26"/>
  <c r="T12" i="26"/>
  <c r="S29" i="26"/>
  <c r="T16" i="26"/>
  <c r="S33" i="26"/>
  <c r="T20" i="26"/>
  <c r="S37" i="26"/>
  <c r="T24" i="26"/>
  <c r="S41" i="26"/>
  <c r="T14" i="26"/>
  <c r="S31" i="26"/>
  <c r="T22" i="26"/>
  <c r="S39" i="26"/>
  <c r="T15" i="26"/>
  <c r="S32" i="26"/>
  <c r="T23" i="26"/>
  <c r="S40" i="26"/>
  <c r="T13" i="26"/>
  <c r="S30" i="26"/>
  <c r="T17" i="26"/>
  <c r="S34" i="26"/>
  <c r="T21" i="26"/>
  <c r="S38" i="26"/>
  <c r="T25" i="26"/>
  <c r="S42" i="26"/>
  <c r="H131" i="26"/>
  <c r="L131" i="26"/>
  <c r="I131" i="26"/>
  <c r="J131" i="26"/>
  <c r="E131" i="26"/>
  <c r="F131" i="26"/>
  <c r="G131" i="26"/>
  <c r="K131" i="26"/>
  <c r="F38" i="26"/>
  <c r="L38" i="26" s="1"/>
  <c r="F44" i="26"/>
  <c r="L44" i="26" s="1"/>
  <c r="F37" i="26"/>
  <c r="L37" i="26" s="1"/>
  <c r="F43" i="26"/>
  <c r="L40" i="26"/>
  <c r="V40" i="26" s="1"/>
  <c r="K53" i="30"/>
  <c r="E50" i="30"/>
  <c r="K53" i="29"/>
  <c r="E50" i="29"/>
  <c r="K53" i="28"/>
  <c r="E50" i="28"/>
  <c r="K53" i="27"/>
  <c r="E50" i="27"/>
  <c r="K53" i="21"/>
  <c r="E50" i="21"/>
  <c r="K53" i="20"/>
  <c r="E50" i="20"/>
  <c r="K53" i="19"/>
  <c r="E50" i="19"/>
  <c r="K53" i="18"/>
  <c r="E50" i="18"/>
  <c r="M37" i="26" l="1"/>
  <c r="V37" i="26"/>
  <c r="M44" i="26"/>
  <c r="V44" i="26"/>
  <c r="M38" i="26"/>
  <c r="V38" i="26"/>
  <c r="N38" i="26"/>
  <c r="H38" i="26" s="1"/>
  <c r="N44" i="26"/>
  <c r="H44" i="26" s="1"/>
  <c r="N37" i="26"/>
  <c r="H37" i="26" s="1"/>
  <c r="N40" i="26"/>
  <c r="H40" i="26" s="1"/>
  <c r="M40" i="26"/>
  <c r="K12" i="18"/>
  <c r="F72" i="30"/>
  <c r="G71" i="30" s="1"/>
  <c r="G69" i="30"/>
  <c r="G65" i="30"/>
  <c r="J64" i="30"/>
  <c r="J72" i="30" s="1"/>
  <c r="H64" i="30"/>
  <c r="I67" i="30" s="1"/>
  <c r="F64" i="30"/>
  <c r="G70" i="30" s="1"/>
  <c r="K54" i="30"/>
  <c r="E51" i="30"/>
  <c r="F48" i="30" s="1"/>
  <c r="K26" i="30"/>
  <c r="M26" i="30" s="1"/>
  <c r="C7" i="30" s="1"/>
  <c r="J26" i="30"/>
  <c r="H26" i="30"/>
  <c r="K25" i="30"/>
  <c r="J25" i="30"/>
  <c r="H25" i="30"/>
  <c r="K24" i="30"/>
  <c r="J24" i="30"/>
  <c r="H24" i="30"/>
  <c r="K23" i="30"/>
  <c r="L23" i="30" s="1"/>
  <c r="J23" i="30"/>
  <c r="H23" i="30"/>
  <c r="K22" i="30"/>
  <c r="L22" i="30" s="1"/>
  <c r="J22" i="30"/>
  <c r="H22" i="30"/>
  <c r="K21" i="30"/>
  <c r="I29" i="30" s="1"/>
  <c r="J21" i="30"/>
  <c r="H21" i="30"/>
  <c r="K20" i="30"/>
  <c r="J20" i="30"/>
  <c r="H20" i="30"/>
  <c r="K19" i="30"/>
  <c r="L19" i="30" s="1"/>
  <c r="J19" i="30"/>
  <c r="H19" i="30"/>
  <c r="K18" i="30"/>
  <c r="L18" i="30" s="1"/>
  <c r="J18" i="30"/>
  <c r="H18" i="30"/>
  <c r="K17" i="30"/>
  <c r="J17" i="30"/>
  <c r="H17" i="30"/>
  <c r="K16" i="30"/>
  <c r="I28" i="30" s="1"/>
  <c r="J16" i="30"/>
  <c r="H16" i="30"/>
  <c r="K15" i="30"/>
  <c r="L15" i="30" s="1"/>
  <c r="J15" i="30"/>
  <c r="H15" i="30"/>
  <c r="K14" i="30"/>
  <c r="L14" i="30" s="1"/>
  <c r="J14" i="30"/>
  <c r="H14" i="30"/>
  <c r="K13" i="30"/>
  <c r="J13" i="30"/>
  <c r="H13" i="30"/>
  <c r="K12" i="30"/>
  <c r="L13" i="30" s="1"/>
  <c r="J64" i="29"/>
  <c r="J72" i="29" s="1"/>
  <c r="H64" i="29"/>
  <c r="I67" i="29" s="1"/>
  <c r="F64" i="29"/>
  <c r="G70" i="29" s="1"/>
  <c r="K54" i="29"/>
  <c r="E51" i="29"/>
  <c r="F48" i="29" s="1"/>
  <c r="F49" i="29"/>
  <c r="F45" i="29"/>
  <c r="F43" i="29"/>
  <c r="K26" i="29"/>
  <c r="I30" i="29" s="1"/>
  <c r="J26" i="29"/>
  <c r="H26" i="29"/>
  <c r="K25" i="29"/>
  <c r="L25" i="29" s="1"/>
  <c r="J25" i="29"/>
  <c r="H25" i="29"/>
  <c r="K24" i="29"/>
  <c r="L24" i="29" s="1"/>
  <c r="J24" i="29"/>
  <c r="H24" i="29"/>
  <c r="K23" i="29"/>
  <c r="J23" i="29"/>
  <c r="H23" i="29"/>
  <c r="K22" i="29"/>
  <c r="L22" i="29" s="1"/>
  <c r="J22" i="29"/>
  <c r="H22" i="29"/>
  <c r="K21" i="29"/>
  <c r="G29" i="29" s="1"/>
  <c r="J21" i="29"/>
  <c r="H21" i="29"/>
  <c r="K20" i="29"/>
  <c r="L20" i="29" s="1"/>
  <c r="J20" i="29"/>
  <c r="H20" i="29"/>
  <c r="K19" i="29"/>
  <c r="J19" i="29"/>
  <c r="H19" i="29"/>
  <c r="K18" i="29"/>
  <c r="L18" i="29" s="1"/>
  <c r="J18" i="29"/>
  <c r="H18" i="29"/>
  <c r="K17" i="29"/>
  <c r="L17" i="29" s="1"/>
  <c r="J17" i="29"/>
  <c r="H17" i="29"/>
  <c r="K16" i="29"/>
  <c r="I28" i="29" s="1"/>
  <c r="J16" i="29"/>
  <c r="H16" i="29"/>
  <c r="K15" i="29"/>
  <c r="J15" i="29"/>
  <c r="H15" i="29"/>
  <c r="K14" i="29"/>
  <c r="L14" i="29" s="1"/>
  <c r="J14" i="29"/>
  <c r="H14" i="29"/>
  <c r="K13" i="29"/>
  <c r="J13" i="29"/>
  <c r="H13" i="29"/>
  <c r="K12" i="29"/>
  <c r="K68" i="28"/>
  <c r="K66" i="28"/>
  <c r="G66" i="28"/>
  <c r="J64" i="28"/>
  <c r="J72" i="28" s="1"/>
  <c r="H64" i="28"/>
  <c r="I67" i="28" s="1"/>
  <c r="F64" i="28"/>
  <c r="G70" i="28" s="1"/>
  <c r="K54" i="28"/>
  <c r="E51" i="28"/>
  <c r="F48" i="28" s="1"/>
  <c r="L45" i="28"/>
  <c r="F43" i="28"/>
  <c r="K26" i="28"/>
  <c r="G30" i="28" s="1"/>
  <c r="J26" i="28"/>
  <c r="H26" i="28"/>
  <c r="K25" i="28"/>
  <c r="L25" i="28" s="1"/>
  <c r="J25" i="28"/>
  <c r="H25" i="28"/>
  <c r="K24" i="28"/>
  <c r="L24" i="28" s="1"/>
  <c r="J24" i="28"/>
  <c r="H24" i="28"/>
  <c r="K23" i="28"/>
  <c r="L23" i="28" s="1"/>
  <c r="J23" i="28"/>
  <c r="H23" i="28"/>
  <c r="K22" i="28"/>
  <c r="L22" i="28" s="1"/>
  <c r="J22" i="28"/>
  <c r="H22" i="28"/>
  <c r="K21" i="28"/>
  <c r="I29" i="28" s="1"/>
  <c r="J21" i="28"/>
  <c r="H21" i="28"/>
  <c r="K20" i="28"/>
  <c r="L20" i="28" s="1"/>
  <c r="J20" i="28"/>
  <c r="H20" i="28"/>
  <c r="K19" i="28"/>
  <c r="L19" i="28" s="1"/>
  <c r="J19" i="28"/>
  <c r="H19" i="28"/>
  <c r="K18" i="28"/>
  <c r="L18" i="28" s="1"/>
  <c r="J18" i="28"/>
  <c r="H18" i="28"/>
  <c r="K17" i="28"/>
  <c r="L17" i="28" s="1"/>
  <c r="J17" i="28"/>
  <c r="H17" i="28"/>
  <c r="K16" i="28"/>
  <c r="I28" i="28" s="1"/>
  <c r="J16" i="28"/>
  <c r="H16" i="28"/>
  <c r="K15" i="28"/>
  <c r="L15" i="28" s="1"/>
  <c r="J15" i="28"/>
  <c r="H15" i="28"/>
  <c r="K14" i="28"/>
  <c r="J14" i="28"/>
  <c r="H14" i="28"/>
  <c r="K13" i="28"/>
  <c r="J13" i="28"/>
  <c r="H13" i="28"/>
  <c r="K12" i="28"/>
  <c r="J64" i="27"/>
  <c r="J72" i="27" s="1"/>
  <c r="H64" i="27"/>
  <c r="I67" i="27" s="1"/>
  <c r="F64" i="27"/>
  <c r="G70" i="27" s="1"/>
  <c r="K54" i="27"/>
  <c r="L47" i="27" s="1"/>
  <c r="E54" i="27"/>
  <c r="E51" i="27"/>
  <c r="F48" i="27" s="1"/>
  <c r="L49" i="27"/>
  <c r="F49" i="27"/>
  <c r="F47" i="27"/>
  <c r="F45" i="27"/>
  <c r="L43" i="27"/>
  <c r="F43" i="27"/>
  <c r="K26" i="27"/>
  <c r="I30" i="27" s="1"/>
  <c r="J26" i="27"/>
  <c r="H26" i="27"/>
  <c r="K25" i="27"/>
  <c r="L25" i="27" s="1"/>
  <c r="J25" i="27"/>
  <c r="H25" i="27"/>
  <c r="K24" i="27"/>
  <c r="L24" i="27" s="1"/>
  <c r="J24" i="27"/>
  <c r="H24" i="27"/>
  <c r="K23" i="27"/>
  <c r="L23" i="27" s="1"/>
  <c r="J23" i="27"/>
  <c r="H23" i="27"/>
  <c r="K22" i="27"/>
  <c r="L22" i="27" s="1"/>
  <c r="J22" i="27"/>
  <c r="H22" i="27"/>
  <c r="K21" i="27"/>
  <c r="G29" i="27" s="1"/>
  <c r="J21" i="27"/>
  <c r="H21" i="27"/>
  <c r="K20" i="27"/>
  <c r="L20" i="27" s="1"/>
  <c r="J20" i="27"/>
  <c r="H20" i="27"/>
  <c r="K19" i="27"/>
  <c r="L19" i="27" s="1"/>
  <c r="J19" i="27"/>
  <c r="H19" i="27"/>
  <c r="K18" i="27"/>
  <c r="L18" i="27" s="1"/>
  <c r="J18" i="27"/>
  <c r="H18" i="27"/>
  <c r="K17" i="27"/>
  <c r="L17" i="27" s="1"/>
  <c r="J17" i="27"/>
  <c r="H17" i="27"/>
  <c r="K16" i="27"/>
  <c r="I28" i="27" s="1"/>
  <c r="J16" i="27"/>
  <c r="H16" i="27"/>
  <c r="K15" i="27"/>
  <c r="L15" i="27" s="1"/>
  <c r="J15" i="27"/>
  <c r="H15" i="27"/>
  <c r="K14" i="27"/>
  <c r="J14" i="27"/>
  <c r="H14" i="27"/>
  <c r="K13" i="27"/>
  <c r="J13" i="27"/>
  <c r="H13" i="27"/>
  <c r="K12" i="27"/>
  <c r="J64" i="21"/>
  <c r="J72" i="21" s="1"/>
  <c r="H64" i="21"/>
  <c r="I67" i="21" s="1"/>
  <c r="F64" i="21"/>
  <c r="G70" i="21" s="1"/>
  <c r="K54" i="21"/>
  <c r="L51" i="21"/>
  <c r="E51" i="21"/>
  <c r="F48" i="21" s="1"/>
  <c r="L47" i="21"/>
  <c r="L45" i="21"/>
  <c r="I29" i="21"/>
  <c r="K29" i="21" s="1"/>
  <c r="L26" i="21"/>
  <c r="K26" i="21"/>
  <c r="I30" i="21" s="1"/>
  <c r="J26" i="21"/>
  <c r="H26" i="21"/>
  <c r="L25" i="21"/>
  <c r="K25" i="21"/>
  <c r="J25" i="21"/>
  <c r="H25" i="21"/>
  <c r="L24" i="21"/>
  <c r="K24" i="21"/>
  <c r="J24" i="21"/>
  <c r="H24" i="21"/>
  <c r="L23" i="21"/>
  <c r="K23" i="21"/>
  <c r="J23" i="21"/>
  <c r="H23" i="21"/>
  <c r="L22" i="21"/>
  <c r="K22" i="21"/>
  <c r="J22" i="21"/>
  <c r="H22" i="21"/>
  <c r="L21" i="21"/>
  <c r="K21" i="21"/>
  <c r="G29" i="21" s="1"/>
  <c r="J21" i="21"/>
  <c r="H21" i="21"/>
  <c r="L20" i="21"/>
  <c r="K20" i="21"/>
  <c r="J20" i="21"/>
  <c r="H20" i="21"/>
  <c r="L19" i="21"/>
  <c r="K19" i="21"/>
  <c r="J19" i="21"/>
  <c r="H19" i="21"/>
  <c r="L18" i="21"/>
  <c r="K18" i="21"/>
  <c r="J18" i="21"/>
  <c r="H18" i="21"/>
  <c r="L17" i="21"/>
  <c r="K17" i="21"/>
  <c r="J17" i="21"/>
  <c r="H17" i="21"/>
  <c r="L16" i="21"/>
  <c r="K16" i="21"/>
  <c r="I28" i="21" s="1"/>
  <c r="J16" i="21"/>
  <c r="H16" i="21"/>
  <c r="K15" i="21"/>
  <c r="J15" i="21"/>
  <c r="H15" i="21"/>
  <c r="K14" i="21"/>
  <c r="L15" i="21" s="1"/>
  <c r="J14" i="21"/>
  <c r="H14" i="21"/>
  <c r="K13" i="21"/>
  <c r="J13" i="21"/>
  <c r="H13" i="21"/>
  <c r="K12" i="21"/>
  <c r="J64" i="20"/>
  <c r="J72" i="20" s="1"/>
  <c r="H64" i="20"/>
  <c r="I67" i="20" s="1"/>
  <c r="F64" i="20"/>
  <c r="G70" i="20" s="1"/>
  <c r="K54" i="20"/>
  <c r="E51" i="20"/>
  <c r="F48" i="20" s="1"/>
  <c r="F47" i="20"/>
  <c r="K26" i="20"/>
  <c r="I30" i="20" s="1"/>
  <c r="J26" i="20"/>
  <c r="H26" i="20"/>
  <c r="K25" i="20"/>
  <c r="J25" i="20"/>
  <c r="H25" i="20"/>
  <c r="K24" i="20"/>
  <c r="L24" i="20" s="1"/>
  <c r="J24" i="20"/>
  <c r="H24" i="20"/>
  <c r="K23" i="20"/>
  <c r="J23" i="20"/>
  <c r="H23" i="20"/>
  <c r="K22" i="20"/>
  <c r="L22" i="20" s="1"/>
  <c r="J22" i="20"/>
  <c r="H22" i="20"/>
  <c r="K21" i="20"/>
  <c r="G29" i="20" s="1"/>
  <c r="J21" i="20"/>
  <c r="H21" i="20"/>
  <c r="K20" i="20"/>
  <c r="L20" i="20" s="1"/>
  <c r="J20" i="20"/>
  <c r="H20" i="20"/>
  <c r="K19" i="20"/>
  <c r="J19" i="20"/>
  <c r="H19" i="20"/>
  <c r="K18" i="20"/>
  <c r="L18" i="20" s="1"/>
  <c r="J18" i="20"/>
  <c r="H18" i="20"/>
  <c r="K17" i="20"/>
  <c r="J17" i="20"/>
  <c r="H17" i="20"/>
  <c r="K16" i="20"/>
  <c r="I28" i="20" s="1"/>
  <c r="J16" i="20"/>
  <c r="H16" i="20"/>
  <c r="K15" i="20"/>
  <c r="J15" i="20"/>
  <c r="H15" i="20"/>
  <c r="K14" i="20"/>
  <c r="L14" i="20" s="1"/>
  <c r="J14" i="20"/>
  <c r="H14" i="20"/>
  <c r="K13" i="20"/>
  <c r="J13" i="20"/>
  <c r="H13" i="20"/>
  <c r="K12" i="20"/>
  <c r="J64" i="19"/>
  <c r="J72" i="19" s="1"/>
  <c r="H64" i="19"/>
  <c r="I67" i="19" s="1"/>
  <c r="F64" i="19"/>
  <c r="G70" i="19" s="1"/>
  <c r="K54" i="19"/>
  <c r="E51" i="19"/>
  <c r="F48" i="19" s="1"/>
  <c r="F49" i="19"/>
  <c r="K26" i="19"/>
  <c r="I30" i="19" s="1"/>
  <c r="J26" i="19"/>
  <c r="H26" i="19"/>
  <c r="K25" i="19"/>
  <c r="L25" i="19" s="1"/>
  <c r="J25" i="19"/>
  <c r="H25" i="19"/>
  <c r="K24" i="19"/>
  <c r="L24" i="19" s="1"/>
  <c r="J24" i="19"/>
  <c r="H24" i="19"/>
  <c r="K23" i="19"/>
  <c r="L23" i="19" s="1"/>
  <c r="J23" i="19"/>
  <c r="H23" i="19"/>
  <c r="K22" i="19"/>
  <c r="L22" i="19" s="1"/>
  <c r="J22" i="19"/>
  <c r="H22" i="19"/>
  <c r="K21" i="19"/>
  <c r="G29" i="19" s="1"/>
  <c r="J21" i="19"/>
  <c r="H21" i="19"/>
  <c r="K20" i="19"/>
  <c r="L20" i="19" s="1"/>
  <c r="J20" i="19"/>
  <c r="H20" i="19"/>
  <c r="K19" i="19"/>
  <c r="L19" i="19" s="1"/>
  <c r="J19" i="19"/>
  <c r="H19" i="19"/>
  <c r="K18" i="19"/>
  <c r="L18" i="19" s="1"/>
  <c r="J18" i="19"/>
  <c r="H18" i="19"/>
  <c r="K17" i="19"/>
  <c r="L17" i="19" s="1"/>
  <c r="J17" i="19"/>
  <c r="H17" i="19"/>
  <c r="K16" i="19"/>
  <c r="I28" i="19" s="1"/>
  <c r="J16" i="19"/>
  <c r="H16" i="19"/>
  <c r="K15" i="19"/>
  <c r="L15" i="19" s="1"/>
  <c r="J15" i="19"/>
  <c r="H15" i="19"/>
  <c r="K14" i="19"/>
  <c r="J14" i="19"/>
  <c r="H14" i="19"/>
  <c r="K13" i="19"/>
  <c r="L14" i="19" s="1"/>
  <c r="J13" i="19"/>
  <c r="H13" i="19"/>
  <c r="K12" i="19"/>
  <c r="B4" i="30"/>
  <c r="J3" i="30"/>
  <c r="B3" i="30"/>
  <c r="B4" i="29"/>
  <c r="J3" i="29"/>
  <c r="B3" i="29"/>
  <c r="B4" i="28"/>
  <c r="J3" i="28"/>
  <c r="B3" i="28"/>
  <c r="B4" i="27"/>
  <c r="J3" i="27"/>
  <c r="B3" i="27"/>
  <c r="L52" i="30" l="1"/>
  <c r="F47" i="30"/>
  <c r="L52" i="29"/>
  <c r="L52" i="28"/>
  <c r="L52" i="27"/>
  <c r="G54" i="27"/>
  <c r="L52" i="21"/>
  <c r="L49" i="21"/>
  <c r="L43" i="21"/>
  <c r="L52" i="20"/>
  <c r="F43" i="20"/>
  <c r="L52" i="19"/>
  <c r="F43" i="19"/>
  <c r="K71" i="30"/>
  <c r="K64" i="30"/>
  <c r="K71" i="29"/>
  <c r="K64" i="29"/>
  <c r="K71" i="28"/>
  <c r="K64" i="28"/>
  <c r="K71" i="27"/>
  <c r="K64" i="27"/>
  <c r="K71" i="21"/>
  <c r="K64" i="21"/>
  <c r="K71" i="20"/>
  <c r="K64" i="20"/>
  <c r="K71" i="19"/>
  <c r="K64" i="19"/>
  <c r="K70" i="30"/>
  <c r="K66" i="30"/>
  <c r="K67" i="30"/>
  <c r="G68" i="30"/>
  <c r="K67" i="28"/>
  <c r="K70" i="28"/>
  <c r="G69" i="28"/>
  <c r="G65" i="28"/>
  <c r="G68" i="28"/>
  <c r="F72" i="28"/>
  <c r="G64" i="28" s="1"/>
  <c r="I68" i="27"/>
  <c r="H72" i="27"/>
  <c r="F43" i="30"/>
  <c r="L49" i="30"/>
  <c r="L45" i="30"/>
  <c r="F47" i="29"/>
  <c r="L45" i="29"/>
  <c r="L49" i="29"/>
  <c r="L43" i="29"/>
  <c r="L47" i="29"/>
  <c r="L51" i="29"/>
  <c r="L49" i="28"/>
  <c r="F47" i="28"/>
  <c r="G50" i="27"/>
  <c r="G46" i="27"/>
  <c r="L45" i="27"/>
  <c r="L51" i="27"/>
  <c r="F43" i="21"/>
  <c r="F47" i="21"/>
  <c r="F45" i="21"/>
  <c r="F49" i="21"/>
  <c r="E54" i="20"/>
  <c r="F45" i="20"/>
  <c r="F49" i="20"/>
  <c r="L47" i="20"/>
  <c r="L43" i="20"/>
  <c r="L51" i="20"/>
  <c r="L49" i="20"/>
  <c r="L45" i="20"/>
  <c r="F45" i="19"/>
  <c r="F47" i="19"/>
  <c r="L45" i="19"/>
  <c r="L49" i="19"/>
  <c r="L43" i="19"/>
  <c r="L47" i="19"/>
  <c r="L51" i="19"/>
  <c r="L17" i="30"/>
  <c r="L25" i="30"/>
  <c r="G29" i="30"/>
  <c r="L20" i="30"/>
  <c r="L24" i="30"/>
  <c r="L16" i="30"/>
  <c r="L21" i="30"/>
  <c r="L26" i="30"/>
  <c r="I30" i="30"/>
  <c r="K29" i="30"/>
  <c r="G30" i="30"/>
  <c r="L15" i="29"/>
  <c r="L19" i="29"/>
  <c r="L23" i="29"/>
  <c r="G30" i="29"/>
  <c r="L16" i="29"/>
  <c r="L26" i="29"/>
  <c r="L13" i="29"/>
  <c r="G28" i="29"/>
  <c r="K28" i="29" s="1"/>
  <c r="K30" i="29"/>
  <c r="L21" i="29"/>
  <c r="I29" i="29"/>
  <c r="K29" i="29" s="1"/>
  <c r="L16" i="28"/>
  <c r="L21" i="28"/>
  <c r="L26" i="28"/>
  <c r="L14" i="28"/>
  <c r="G29" i="28"/>
  <c r="I30" i="28"/>
  <c r="K29" i="28"/>
  <c r="K30" i="28"/>
  <c r="L13" i="28"/>
  <c r="M26" i="28"/>
  <c r="C7" i="28" s="1"/>
  <c r="L16" i="27"/>
  <c r="L21" i="27"/>
  <c r="L26" i="27"/>
  <c r="L14" i="27"/>
  <c r="I29" i="27"/>
  <c r="K29" i="27" s="1"/>
  <c r="L13" i="27"/>
  <c r="G28" i="27"/>
  <c r="K28" i="27" s="1"/>
  <c r="K30" i="27"/>
  <c r="G30" i="27"/>
  <c r="L14" i="21"/>
  <c r="G28" i="21"/>
  <c r="K28" i="21" s="1"/>
  <c r="L13" i="21"/>
  <c r="G30" i="21"/>
  <c r="K30" i="21" s="1"/>
  <c r="L17" i="20"/>
  <c r="L25" i="20"/>
  <c r="L15" i="20"/>
  <c r="L19" i="20"/>
  <c r="L23" i="20"/>
  <c r="G30" i="20"/>
  <c r="K30" i="20" s="1"/>
  <c r="L13" i="20"/>
  <c r="G28" i="20"/>
  <c r="K28" i="20"/>
  <c r="L16" i="20"/>
  <c r="L21" i="20"/>
  <c r="L26" i="20"/>
  <c r="I29" i="20"/>
  <c r="K29" i="20" s="1"/>
  <c r="L16" i="19"/>
  <c r="L21" i="19"/>
  <c r="L26" i="19"/>
  <c r="G28" i="19"/>
  <c r="K28" i="19" s="1"/>
  <c r="I29" i="19"/>
  <c r="K29" i="19" s="1"/>
  <c r="L13" i="19"/>
  <c r="G30" i="19"/>
  <c r="K30" i="19" s="1"/>
  <c r="I66" i="30"/>
  <c r="F46" i="30"/>
  <c r="L48" i="30"/>
  <c r="F50" i="30"/>
  <c r="F51" i="30"/>
  <c r="L53" i="30"/>
  <c r="L54" i="30"/>
  <c r="I65" i="30"/>
  <c r="I69" i="30"/>
  <c r="G28" i="30"/>
  <c r="K28" i="30" s="1"/>
  <c r="L43" i="30"/>
  <c r="F45" i="30"/>
  <c r="L47" i="30"/>
  <c r="F49" i="30"/>
  <c r="L51" i="30"/>
  <c r="E54" i="30"/>
  <c r="K65" i="30"/>
  <c r="G67" i="30"/>
  <c r="I68" i="30"/>
  <c r="K69" i="30"/>
  <c r="H72" i="30"/>
  <c r="I70" i="30"/>
  <c r="L44" i="30"/>
  <c r="F44" i="30"/>
  <c r="L46" i="30"/>
  <c r="L50" i="30"/>
  <c r="G64" i="30"/>
  <c r="G66" i="30"/>
  <c r="K68" i="30"/>
  <c r="G65" i="29"/>
  <c r="I66" i="29"/>
  <c r="K67" i="29"/>
  <c r="G69" i="29"/>
  <c r="I70" i="29"/>
  <c r="M26" i="29"/>
  <c r="C7" i="29" s="1"/>
  <c r="L44" i="29"/>
  <c r="F46" i="29"/>
  <c r="L48" i="29"/>
  <c r="F50" i="29"/>
  <c r="F51" i="29"/>
  <c r="L53" i="29"/>
  <c r="L54" i="29"/>
  <c r="I65" i="29"/>
  <c r="K66" i="29"/>
  <c r="G68" i="29"/>
  <c r="I69" i="29"/>
  <c r="K70" i="29"/>
  <c r="F72" i="29"/>
  <c r="G71" i="29" s="1"/>
  <c r="E54" i="29"/>
  <c r="K65" i="29"/>
  <c r="G67" i="29"/>
  <c r="I68" i="29"/>
  <c r="K69" i="29"/>
  <c r="H72" i="29"/>
  <c r="F44" i="29"/>
  <c r="C36" i="29" s="1"/>
  <c r="L46" i="29"/>
  <c r="L50" i="29"/>
  <c r="G66" i="29"/>
  <c r="K68" i="29"/>
  <c r="I70" i="28"/>
  <c r="F46" i="28"/>
  <c r="L48" i="28"/>
  <c r="F51" i="28"/>
  <c r="L54" i="28"/>
  <c r="G28" i="28"/>
  <c r="K28" i="28" s="1"/>
  <c r="L43" i="28"/>
  <c r="F45" i="28"/>
  <c r="L47" i="28"/>
  <c r="F49" i="28"/>
  <c r="L51" i="28"/>
  <c r="E54" i="28"/>
  <c r="K65" i="28"/>
  <c r="G67" i="28"/>
  <c r="I68" i="28"/>
  <c r="K69" i="28"/>
  <c r="H72" i="28"/>
  <c r="I66" i="28"/>
  <c r="L44" i="28"/>
  <c r="F50" i="28"/>
  <c r="L53" i="28"/>
  <c r="I65" i="28"/>
  <c r="I69" i="28"/>
  <c r="F44" i="28"/>
  <c r="C36" i="28" s="1"/>
  <c r="L46" i="28"/>
  <c r="L50" i="28"/>
  <c r="G44" i="27"/>
  <c r="G48" i="27"/>
  <c r="G53" i="27"/>
  <c r="G65" i="27"/>
  <c r="I66" i="27"/>
  <c r="K67" i="27"/>
  <c r="G69" i="27"/>
  <c r="I70" i="27"/>
  <c r="M26" i="27"/>
  <c r="C7" i="27" s="1"/>
  <c r="G43" i="27"/>
  <c r="L44" i="27"/>
  <c r="F46" i="27"/>
  <c r="G47" i="27"/>
  <c r="L48" i="27"/>
  <c r="F50" i="27"/>
  <c r="F51" i="27"/>
  <c r="L53" i="27"/>
  <c r="L54" i="27"/>
  <c r="I65" i="27"/>
  <c r="K66" i="27"/>
  <c r="G68" i="27"/>
  <c r="I69" i="27"/>
  <c r="K70" i="27"/>
  <c r="F72" i="27"/>
  <c r="G71" i="27" s="1"/>
  <c r="K65" i="27"/>
  <c r="G67" i="27"/>
  <c r="K69" i="27"/>
  <c r="F44" i="27"/>
  <c r="C36" i="27" s="1"/>
  <c r="G45" i="27"/>
  <c r="L46" i="27"/>
  <c r="G49" i="27"/>
  <c r="L50" i="27"/>
  <c r="G66" i="27"/>
  <c r="K68" i="27"/>
  <c r="G65" i="21"/>
  <c r="I66" i="21"/>
  <c r="K67" i="21"/>
  <c r="G69" i="21"/>
  <c r="I70" i="21"/>
  <c r="M26" i="21"/>
  <c r="C7" i="21" s="1"/>
  <c r="L44" i="21"/>
  <c r="F46" i="21"/>
  <c r="L48" i="21"/>
  <c r="F50" i="21"/>
  <c r="F51" i="21"/>
  <c r="L53" i="21"/>
  <c r="L54" i="21"/>
  <c r="I65" i="21"/>
  <c r="K66" i="21"/>
  <c r="G68" i="21"/>
  <c r="I69" i="21"/>
  <c r="K70" i="21"/>
  <c r="F72" i="21"/>
  <c r="G71" i="21" s="1"/>
  <c r="E54" i="21"/>
  <c r="K65" i="21"/>
  <c r="G67" i="21"/>
  <c r="I68" i="21"/>
  <c r="K69" i="21"/>
  <c r="H72" i="21"/>
  <c r="F44" i="21"/>
  <c r="L46" i="21"/>
  <c r="L50" i="21"/>
  <c r="G64" i="21"/>
  <c r="G66" i="21"/>
  <c r="K68" i="21"/>
  <c r="G65" i="20"/>
  <c r="I66" i="20"/>
  <c r="K67" i="20"/>
  <c r="G69" i="20"/>
  <c r="I70" i="20"/>
  <c r="M26" i="20"/>
  <c r="C7" i="20" s="1"/>
  <c r="G43" i="20"/>
  <c r="L44" i="20"/>
  <c r="F46" i="20"/>
  <c r="G47" i="20"/>
  <c r="L48" i="20"/>
  <c r="F50" i="20"/>
  <c r="F51" i="20"/>
  <c r="L53" i="20"/>
  <c r="L54" i="20"/>
  <c r="I65" i="20"/>
  <c r="K66" i="20"/>
  <c r="G68" i="20"/>
  <c r="I69" i="20"/>
  <c r="K70" i="20"/>
  <c r="F72" i="20"/>
  <c r="G71" i="20" s="1"/>
  <c r="K65" i="20"/>
  <c r="G67" i="20"/>
  <c r="I68" i="20"/>
  <c r="K69" i="20"/>
  <c r="H72" i="20"/>
  <c r="F44" i="20"/>
  <c r="C36" i="20" s="1"/>
  <c r="L46" i="20"/>
  <c r="G49" i="20"/>
  <c r="L50" i="20"/>
  <c r="G66" i="20"/>
  <c r="K68" i="20"/>
  <c r="G65" i="19"/>
  <c r="I66" i="19"/>
  <c r="K67" i="19"/>
  <c r="G69" i="19"/>
  <c r="I70" i="19"/>
  <c r="M26" i="19"/>
  <c r="C7" i="19" s="1"/>
  <c r="L44" i="19"/>
  <c r="F46" i="19"/>
  <c r="L48" i="19"/>
  <c r="F50" i="19"/>
  <c r="F51" i="19"/>
  <c r="L53" i="19"/>
  <c r="L54" i="19"/>
  <c r="I65" i="19"/>
  <c r="K66" i="19"/>
  <c r="G68" i="19"/>
  <c r="I69" i="19"/>
  <c r="K70" i="19"/>
  <c r="F72" i="19"/>
  <c r="G71" i="19" s="1"/>
  <c r="E54" i="19"/>
  <c r="K65" i="19"/>
  <c r="G67" i="19"/>
  <c r="I68" i="19"/>
  <c r="K69" i="19"/>
  <c r="H72" i="19"/>
  <c r="F44" i="19"/>
  <c r="C36" i="19" s="1"/>
  <c r="L46" i="19"/>
  <c r="L50" i="19"/>
  <c r="G66" i="19"/>
  <c r="K68" i="19"/>
  <c r="J4" i="26"/>
  <c r="M156" i="26"/>
  <c r="L156" i="26"/>
  <c r="K156" i="26"/>
  <c r="M149" i="26"/>
  <c r="L149" i="26"/>
  <c r="K149" i="26"/>
  <c r="M147" i="26"/>
  <c r="L147" i="26"/>
  <c r="K147" i="26"/>
  <c r="M146" i="26"/>
  <c r="L146" i="26"/>
  <c r="K146" i="26"/>
  <c r="M154" i="26"/>
  <c r="L154" i="26"/>
  <c r="K154" i="26"/>
  <c r="M144" i="26"/>
  <c r="L144" i="26"/>
  <c r="K144" i="26"/>
  <c r="M143" i="26"/>
  <c r="C36" i="30" l="1"/>
  <c r="C36" i="21"/>
  <c r="G45" i="20"/>
  <c r="G53" i="20"/>
  <c r="I71" i="30"/>
  <c r="I64" i="30"/>
  <c r="I71" i="29"/>
  <c r="I64" i="29"/>
  <c r="G64" i="29"/>
  <c r="I71" i="28"/>
  <c r="I64" i="28"/>
  <c r="G71" i="28"/>
  <c r="I71" i="27"/>
  <c r="I64" i="27"/>
  <c r="I71" i="21"/>
  <c r="I64" i="21"/>
  <c r="I71" i="20"/>
  <c r="I64" i="20"/>
  <c r="I71" i="19"/>
  <c r="I64" i="19"/>
  <c r="G64" i="19"/>
  <c r="G54" i="20"/>
  <c r="G50" i="20"/>
  <c r="G46" i="20"/>
  <c r="G48" i="20"/>
  <c r="G44" i="20"/>
  <c r="K30" i="30"/>
  <c r="G54" i="30"/>
  <c r="G49" i="30"/>
  <c r="G45" i="30"/>
  <c r="G53" i="30"/>
  <c r="G50" i="30"/>
  <c r="G46" i="30"/>
  <c r="G47" i="30"/>
  <c r="G43" i="30"/>
  <c r="G48" i="30"/>
  <c r="G44" i="30"/>
  <c r="G54" i="29"/>
  <c r="G49" i="29"/>
  <c r="G45" i="29"/>
  <c r="G50" i="29"/>
  <c r="G46" i="29"/>
  <c r="G47" i="29"/>
  <c r="G43" i="29"/>
  <c r="G53" i="29"/>
  <c r="G48" i="29"/>
  <c r="G44" i="29"/>
  <c r="G54" i="28"/>
  <c r="G49" i="28"/>
  <c r="G45" i="28"/>
  <c r="G47" i="28"/>
  <c r="G50" i="28"/>
  <c r="G46" i="28"/>
  <c r="G43" i="28"/>
  <c r="G53" i="28"/>
  <c r="G48" i="28"/>
  <c r="G44" i="28"/>
  <c r="G64" i="27"/>
  <c r="G54" i="21"/>
  <c r="G49" i="21"/>
  <c r="G45" i="21"/>
  <c r="G50" i="21"/>
  <c r="G46" i="21"/>
  <c r="G47" i="21"/>
  <c r="G43" i="21"/>
  <c r="G53" i="21"/>
  <c r="G48" i="21"/>
  <c r="G44" i="21"/>
  <c r="G64" i="20"/>
  <c r="G54" i="19"/>
  <c r="G49" i="19"/>
  <c r="G45" i="19"/>
  <c r="G50" i="19"/>
  <c r="G46" i="19"/>
  <c r="G47" i="19"/>
  <c r="G43" i="19"/>
  <c r="G53" i="19"/>
  <c r="G48" i="19"/>
  <c r="G44" i="19"/>
  <c r="I113" i="26" l="1"/>
  <c r="L113" i="26" s="1"/>
  <c r="I108" i="26"/>
  <c r="M108" i="26" s="1"/>
  <c r="I107" i="26"/>
  <c r="N107" i="26" s="1"/>
  <c r="I106" i="26"/>
  <c r="K106" i="26" s="1"/>
  <c r="D114" i="26"/>
  <c r="E114" i="26"/>
  <c r="F64" i="18"/>
  <c r="F72" i="18" s="1"/>
  <c r="H64" i="18"/>
  <c r="J64" i="18"/>
  <c r="J72" i="18" s="1"/>
  <c r="N108" i="26" l="1"/>
  <c r="K71" i="18"/>
  <c r="K64" i="18"/>
  <c r="G71" i="18"/>
  <c r="J108" i="26"/>
  <c r="K107" i="26"/>
  <c r="L107" i="26"/>
  <c r="L106" i="26"/>
  <c r="K108" i="26"/>
  <c r="M106" i="26"/>
  <c r="N113" i="26"/>
  <c r="J106" i="26"/>
  <c r="N106" i="26"/>
  <c r="M107" i="26"/>
  <c r="L108" i="26"/>
  <c r="K113" i="26"/>
  <c r="M113" i="26"/>
  <c r="J113" i="26"/>
  <c r="J107" i="26"/>
  <c r="J88" i="26"/>
  <c r="J96" i="26" s="1"/>
  <c r="K95" i="26" s="1"/>
  <c r="H88" i="26"/>
  <c r="I88" i="26" s="1"/>
  <c r="F88" i="26"/>
  <c r="G90" i="26" s="1"/>
  <c r="G64" i="18"/>
  <c r="H72" i="18"/>
  <c r="G69" i="18"/>
  <c r="G65" i="18"/>
  <c r="G68" i="18"/>
  <c r="G67" i="18"/>
  <c r="G70" i="18"/>
  <c r="G66" i="18"/>
  <c r="K67" i="18"/>
  <c r="K70" i="18"/>
  <c r="K66" i="18"/>
  <c r="K69" i="18"/>
  <c r="K65" i="18"/>
  <c r="K68" i="18"/>
  <c r="I70" i="18"/>
  <c r="I66" i="18"/>
  <c r="I69" i="18"/>
  <c r="I65" i="18"/>
  <c r="I68" i="18"/>
  <c r="I67" i="18"/>
  <c r="M78" i="26"/>
  <c r="I71" i="18" l="1"/>
  <c r="I64" i="18"/>
  <c r="I89" i="26"/>
  <c r="G89" i="26"/>
  <c r="K88" i="26"/>
  <c r="K91" i="26"/>
  <c r="K90" i="26"/>
  <c r="K94" i="26"/>
  <c r="K92" i="26"/>
  <c r="K89" i="26"/>
  <c r="K93" i="26"/>
  <c r="F114" i="26"/>
  <c r="I93" i="26"/>
  <c r="G92" i="26"/>
  <c r="I92" i="26"/>
  <c r="H96" i="26"/>
  <c r="I95" i="26" s="1"/>
  <c r="I94" i="26"/>
  <c r="I90" i="26"/>
  <c r="G93" i="26"/>
  <c r="I91" i="26"/>
  <c r="F96" i="26"/>
  <c r="G91" i="26"/>
  <c r="G94" i="26"/>
  <c r="K41" i="26"/>
  <c r="U41" i="26" s="1"/>
  <c r="K42" i="26"/>
  <c r="U42" i="26" s="1"/>
  <c r="E39" i="26"/>
  <c r="D39" i="26"/>
  <c r="E41" i="26"/>
  <c r="D41" i="26"/>
  <c r="E42" i="26"/>
  <c r="D42" i="26"/>
  <c r="E67" i="26"/>
  <c r="E78" i="26" s="1"/>
  <c r="B4" i="26"/>
  <c r="J3" i="26"/>
  <c r="B3" i="26"/>
  <c r="G76" i="26" l="1"/>
  <c r="G77" i="26"/>
  <c r="G75" i="26"/>
  <c r="G74" i="26"/>
  <c r="H114" i="26"/>
  <c r="G114" i="26"/>
  <c r="G95" i="26"/>
  <c r="G88" i="26"/>
  <c r="L43" i="26"/>
  <c r="V43" i="26" s="1"/>
  <c r="J14" i="26"/>
  <c r="J18" i="26"/>
  <c r="J22" i="26"/>
  <c r="J26" i="26"/>
  <c r="K14" i="26"/>
  <c r="H18" i="26"/>
  <c r="H22" i="26"/>
  <c r="K26" i="26"/>
  <c r="I30" i="26" s="1"/>
  <c r="J15" i="26"/>
  <c r="J24" i="26"/>
  <c r="J20" i="26"/>
  <c r="H14" i="26"/>
  <c r="K22" i="26"/>
  <c r="J19" i="26"/>
  <c r="L71" i="26"/>
  <c r="L72" i="26"/>
  <c r="L69" i="26"/>
  <c r="L70" i="26"/>
  <c r="G70" i="26"/>
  <c r="G72" i="26"/>
  <c r="G71" i="26"/>
  <c r="H16" i="26"/>
  <c r="K24" i="26"/>
  <c r="K20" i="26"/>
  <c r="J23" i="26"/>
  <c r="K18" i="26"/>
  <c r="H15" i="26"/>
  <c r="H23" i="26"/>
  <c r="F41" i="26"/>
  <c r="L41" i="26" s="1"/>
  <c r="V41" i="26" s="1"/>
  <c r="K16" i="26"/>
  <c r="H24" i="26"/>
  <c r="K12" i="26"/>
  <c r="R29" i="26" s="1"/>
  <c r="J13" i="26"/>
  <c r="J17" i="26"/>
  <c r="J21" i="26"/>
  <c r="J25" i="26"/>
  <c r="J16" i="26"/>
  <c r="H26" i="26"/>
  <c r="H19" i="26"/>
  <c r="H20" i="26"/>
  <c r="D45" i="26"/>
  <c r="K13" i="26"/>
  <c r="K17" i="26"/>
  <c r="K21" i="26"/>
  <c r="K25" i="26"/>
  <c r="K15" i="26"/>
  <c r="H17" i="26"/>
  <c r="K19" i="26"/>
  <c r="H21" i="26"/>
  <c r="K23" i="26"/>
  <c r="H25" i="26"/>
  <c r="H13" i="26"/>
  <c r="F42" i="26"/>
  <c r="L42" i="26" s="1"/>
  <c r="V42" i="26" s="1"/>
  <c r="F39" i="26"/>
  <c r="L39" i="26" s="1"/>
  <c r="V39" i="26" s="1"/>
  <c r="E45" i="26"/>
  <c r="F62" i="26"/>
  <c r="F67" i="26"/>
  <c r="F65" i="26"/>
  <c r="F61" i="26"/>
  <c r="F63" i="26"/>
  <c r="F59" i="26"/>
  <c r="F64" i="26"/>
  <c r="F60" i="26"/>
  <c r="F66" i="26"/>
  <c r="L64" i="26"/>
  <c r="L60" i="26"/>
  <c r="L68" i="26"/>
  <c r="L66" i="26"/>
  <c r="L65" i="26"/>
  <c r="L61" i="26"/>
  <c r="L78" i="26"/>
  <c r="L67" i="26"/>
  <c r="L62" i="26"/>
  <c r="L63" i="26"/>
  <c r="L59" i="26"/>
  <c r="L73" i="26"/>
  <c r="N43" i="26" l="1"/>
  <c r="H43" i="26" s="1"/>
  <c r="M43" i="26"/>
  <c r="I114" i="26"/>
  <c r="L14" i="26"/>
  <c r="G30" i="26"/>
  <c r="K30" i="26" s="1"/>
  <c r="L23" i="26"/>
  <c r="L18" i="26"/>
  <c r="L21" i="26"/>
  <c r="C52" i="26"/>
  <c r="L25" i="26"/>
  <c r="L26" i="26"/>
  <c r="L16" i="26"/>
  <c r="I29" i="26"/>
  <c r="G29" i="26"/>
  <c r="G28" i="26"/>
  <c r="L17" i="26"/>
  <c r="L22" i="26"/>
  <c r="L15" i="26"/>
  <c r="L19" i="26"/>
  <c r="M26" i="26"/>
  <c r="C7" i="26" s="1"/>
  <c r="I28" i="26"/>
  <c r="F45" i="26"/>
  <c r="L20" i="26"/>
  <c r="L13" i="26"/>
  <c r="L24" i="26"/>
  <c r="N42" i="26"/>
  <c r="H42" i="26" s="1"/>
  <c r="M42" i="26"/>
  <c r="L45" i="26"/>
  <c r="N41" i="26"/>
  <c r="H41" i="26" s="1"/>
  <c r="M41" i="26"/>
  <c r="G78" i="26"/>
  <c r="G73" i="26"/>
  <c r="G63" i="26"/>
  <c r="G59" i="26"/>
  <c r="G64" i="26"/>
  <c r="G60" i="26"/>
  <c r="G66" i="26"/>
  <c r="G65" i="26"/>
  <c r="G61" i="26"/>
  <c r="G62" i="26"/>
  <c r="G43" i="26" l="1"/>
  <c r="G44" i="26"/>
  <c r="G38" i="26"/>
  <c r="G37" i="26"/>
  <c r="G40" i="26"/>
  <c r="K114" i="26"/>
  <c r="J114" i="26"/>
  <c r="L114" i="26"/>
  <c r="N114" i="26"/>
  <c r="M114" i="26"/>
  <c r="G39" i="26"/>
  <c r="G45" i="26"/>
  <c r="K28" i="26"/>
  <c r="K29" i="26"/>
  <c r="G42" i="26"/>
  <c r="G41" i="26"/>
  <c r="B4" i="21" l="1"/>
  <c r="J3" i="21"/>
  <c r="B3" i="21"/>
  <c r="B4" i="20"/>
  <c r="J3" i="20"/>
  <c r="B3" i="20"/>
  <c r="B4" i="19"/>
  <c r="J3" i="19"/>
  <c r="B3" i="19"/>
  <c r="J3" i="18"/>
  <c r="B4" i="18"/>
  <c r="B3" i="18" l="1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K54" i="18" l="1"/>
  <c r="E51" i="18"/>
  <c r="F51" i="18" s="1"/>
  <c r="K26" i="18"/>
  <c r="K25" i="18"/>
  <c r="K39" i="26" s="1"/>
  <c r="U39" i="26" s="1"/>
  <c r="K24" i="18"/>
  <c r="K23" i="18"/>
  <c r="K22" i="18"/>
  <c r="K21" i="18"/>
  <c r="K20" i="18"/>
  <c r="K19" i="18"/>
  <c r="K18" i="18"/>
  <c r="K17" i="18"/>
  <c r="K16" i="18"/>
  <c r="K15" i="18"/>
  <c r="K14" i="18"/>
  <c r="K13" i="18"/>
  <c r="L24" i="18" l="1"/>
  <c r="I28" i="18"/>
  <c r="G28" i="18"/>
  <c r="K45" i="26"/>
  <c r="M39" i="26"/>
  <c r="N39" i="26"/>
  <c r="H39" i="26" s="1"/>
  <c r="I30" i="18"/>
  <c r="G30" i="18"/>
  <c r="I29" i="18"/>
  <c r="G29" i="18"/>
  <c r="L54" i="18"/>
  <c r="L49" i="18"/>
  <c r="L50" i="18"/>
  <c r="L45" i="18"/>
  <c r="F43" i="18"/>
  <c r="F47" i="18"/>
  <c r="M26" i="18"/>
  <c r="C7" i="18" s="1"/>
  <c r="L17" i="18"/>
  <c r="L21" i="18"/>
  <c r="L13" i="18"/>
  <c r="L14" i="18"/>
  <c r="L18" i="18"/>
  <c r="L22" i="18"/>
  <c r="L25" i="18"/>
  <c r="L15" i="18"/>
  <c r="L19" i="18"/>
  <c r="L23" i="18"/>
  <c r="L26" i="18"/>
  <c r="L16" i="18"/>
  <c r="L20" i="18"/>
  <c r="L43" i="18"/>
  <c r="F45" i="18"/>
  <c r="L47" i="18"/>
  <c r="F49" i="18"/>
  <c r="L51" i="18"/>
  <c r="E54" i="18"/>
  <c r="F44" i="18"/>
  <c r="L46" i="18"/>
  <c r="F48" i="18"/>
  <c r="L52" i="18"/>
  <c r="L44" i="18"/>
  <c r="F46" i="18"/>
  <c r="L48" i="18"/>
  <c r="F50" i="18"/>
  <c r="L53" i="18"/>
  <c r="N45" i="26" l="1"/>
  <c r="H45" i="26" s="1"/>
  <c r="M45" i="26"/>
  <c r="C36" i="18"/>
  <c r="K28" i="18"/>
  <c r="K30" i="18"/>
  <c r="K29" i="18"/>
  <c r="G47" i="18"/>
  <c r="G43" i="18"/>
  <c r="G53" i="18"/>
  <c r="G44" i="18"/>
  <c r="G54" i="18"/>
  <c r="G49" i="18"/>
  <c r="G45" i="18"/>
  <c r="G50" i="18"/>
  <c r="G46" i="18"/>
  <c r="G48" i="18"/>
</calcChain>
</file>

<file path=xl/sharedStrings.xml><?xml version="1.0" encoding="utf-8"?>
<sst xmlns="http://schemas.openxmlformats.org/spreadsheetml/2006/main" count="831" uniqueCount="163">
  <si>
    <t>Índice</t>
  </si>
  <si>
    <t>Amazonas</t>
  </si>
  <si>
    <t>San Martín</t>
  </si>
  <si>
    <t>Ucayali</t>
  </si>
  <si>
    <t>Otros</t>
  </si>
  <si>
    <t>Región</t>
  </si>
  <si>
    <t>Año</t>
  </si>
  <si>
    <t>Nacionales</t>
  </si>
  <si>
    <t>Var. %</t>
  </si>
  <si>
    <t>Extranjeros</t>
  </si>
  <si>
    <t>Total</t>
  </si>
  <si>
    <t>La tasa de crecimiento promedio anual durante los últimos 10 años es de:</t>
  </si>
  <si>
    <t>* Personas que llegan a un establecimiento de hospedaje y se registran para ocupar una habitación por uno o más días, contra pago por este servicio, cualquiera sea su edad o sexo</t>
  </si>
  <si>
    <t>Participación:</t>
  </si>
  <si>
    <t>Fuente: Mincetur - Encuesta Mensual de Establecimientos de Hospedaje                        Elaboración: CIE- PERUCÁMARAS</t>
  </si>
  <si>
    <t>Número</t>
  </si>
  <si>
    <t xml:space="preserve">Part. % </t>
  </si>
  <si>
    <t>Part. %</t>
  </si>
  <si>
    <t>País</t>
  </si>
  <si>
    <t>Lambayeque</t>
  </si>
  <si>
    <t>Francia</t>
  </si>
  <si>
    <t>Alemania</t>
  </si>
  <si>
    <t>Italia</t>
  </si>
  <si>
    <t>La Libertad</t>
  </si>
  <si>
    <t>Piura</t>
  </si>
  <si>
    <t>Canada</t>
  </si>
  <si>
    <t>Argentina</t>
  </si>
  <si>
    <t>Lima Metropolitana Y Callao</t>
  </si>
  <si>
    <t>Lima Provincias</t>
  </si>
  <si>
    <t>Región de Procedencia de los huespedes Nacionales, 2017</t>
  </si>
  <si>
    <t>Total*</t>
  </si>
  <si>
    <t>* Sin considerar la misma región.</t>
  </si>
  <si>
    <t>** El promedio de días de permanencia</t>
  </si>
  <si>
    <t>días prom.**</t>
  </si>
  <si>
    <t>Fuente: Mincetur                                                                                                                                                                                                               Elaboración: CIE- PERUCÁMARAS</t>
  </si>
  <si>
    <t>Estados Unidos (Usa)</t>
  </si>
  <si>
    <t>Espana</t>
  </si>
  <si>
    <t>Inglaterra - Reino Unido</t>
  </si>
  <si>
    <t>Otro Pais De Europa</t>
  </si>
  <si>
    <t>Suiza</t>
  </si>
  <si>
    <t>Oceania (Australia &amp;)</t>
  </si>
  <si>
    <t>Chile</t>
  </si>
  <si>
    <t>Huánuco</t>
  </si>
  <si>
    <t>Bolivia</t>
  </si>
  <si>
    <t>Colombia</t>
  </si>
  <si>
    <t>Junín</t>
  </si>
  <si>
    <t>Pasco</t>
  </si>
  <si>
    <t>(Número)</t>
  </si>
  <si>
    <t>Par. %</t>
  </si>
  <si>
    <t>Variación</t>
  </si>
  <si>
    <t>Fuente: Mincetur                                                                        Elaboración: CIE- PERUCÁMARAS</t>
  </si>
  <si>
    <t>( Total de arribos al 2017)</t>
  </si>
  <si>
    <t>País de Procedencia de los huespedes extranjeros
en la macro región, 2017</t>
  </si>
  <si>
    <t>País de Procedencia de los huespedes extranjeros
en la  región, 2017</t>
  </si>
  <si>
    <t>1 Estrella</t>
  </si>
  <si>
    <t>2 Estrellas</t>
  </si>
  <si>
    <t>3 Estrellas</t>
  </si>
  <si>
    <t>4 Estrellas</t>
  </si>
  <si>
    <t>5 Estrellas</t>
  </si>
  <si>
    <t>Nº Estable</t>
  </si>
  <si>
    <t>Nº Habita</t>
  </si>
  <si>
    <t>Nº Plazas-Cama</t>
  </si>
  <si>
    <t>%</t>
  </si>
  <si>
    <t>Fuente: Mincetur                                                                                                                                                                      Elaboración: CIE- PERUCÁMARAS</t>
  </si>
  <si>
    <t>No Clasificados</t>
  </si>
  <si>
    <t>Totales</t>
  </si>
  <si>
    <t>Clasificados*</t>
  </si>
  <si>
    <t>Establecimientos de Hospedaje Colectivo, según categoría, 2017</t>
  </si>
  <si>
    <t>Categoría</t>
  </si>
  <si>
    <t>Otros **</t>
  </si>
  <si>
    <t>** Ecolodge y Alberges Juveniles</t>
  </si>
  <si>
    <t>* Establecimientos Clasificados por Autoridad competente de Turismo y categorizados, Los categorizados comprenden las clases: hoteles, apart-hotel, hostales y resort.</t>
  </si>
  <si>
    <t>3. Establecimientos de Hospedaje Colectivo, según categoría, 2017</t>
  </si>
  <si>
    <t>Hotel 1 Estrella</t>
  </si>
  <si>
    <t>Hotel 2 Estrellas</t>
  </si>
  <si>
    <t>Hotel 3 Estrellas</t>
  </si>
  <si>
    <t>Hotel 4 Estrellas</t>
  </si>
  <si>
    <t>Hotel 5 Estrellas</t>
  </si>
  <si>
    <t>Fuente: Mincetur                                                                                                                    Elaboración: CIE- PERUCÁMARAS</t>
  </si>
  <si>
    <t>1 Estrella %</t>
  </si>
  <si>
    <t>2 Estrellas %</t>
  </si>
  <si>
    <t>3 Estrellas %</t>
  </si>
  <si>
    <t>4 Estrellas %</t>
  </si>
  <si>
    <t>5 Estrellas %</t>
  </si>
  <si>
    <t>Macro Región</t>
  </si>
  <si>
    <t>Número de Hoteles según Categoría por regiones, 2017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</si>
  <si>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</si>
  <si>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</si>
  <si>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</si>
  <si>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</si>
  <si>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</si>
  <si>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</si>
  <si>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</si>
  <si>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</si>
  <si>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</si>
  <si>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</si>
  <si>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</si>
  <si>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Número de establecimientos de hospedaje, según región</t>
  </si>
  <si>
    <t xml:space="preserve">Arribo de Visitantes a establecimientos de hospedaje, 2003-2017 </t>
  </si>
  <si>
    <t>1. Arribo de vivistantes a establecimientos de hospedaje</t>
  </si>
  <si>
    <t>2. Arribo de vivistantes a establecimientos de hospedaje</t>
  </si>
  <si>
    <t>1. Arribo de vivistantes a establecimientos de hospedaje*</t>
  </si>
  <si>
    <t xml:space="preserve">Arribo de vivistantes a establecimientos de hospedaje, 2003-2017 </t>
  </si>
  <si>
    <t>2. Arribo de vivistantes a establecimientos de hospedaje*</t>
  </si>
  <si>
    <t>Principales Centros Turísticos</t>
  </si>
  <si>
    <t>Variación % 2017/2016</t>
  </si>
  <si>
    <t>Nacional</t>
  </si>
  <si>
    <t>Extranjero</t>
  </si>
  <si>
    <t>FUENTE: Servicio Nacional de Áreas Naturales Protegidas - SERNANP</t>
  </si>
  <si>
    <t>Elaboración: CIE-PERUCÁMARAS</t>
  </si>
  <si>
    <t>4. Visitas a los principales centros turísticos en la macro región</t>
  </si>
  <si>
    <t>Llegada de visitantes a los principales centros turísticos de la macro región 2017</t>
  </si>
  <si>
    <t>Centro</t>
  </si>
  <si>
    <t>Áncash</t>
  </si>
  <si>
    <t>Apurímac</t>
  </si>
  <si>
    <t>Ayacucho</t>
  </si>
  <si>
    <t>Huancavelica</t>
  </si>
  <si>
    <t>Ica</t>
  </si>
  <si>
    <t>Información ampliada del Reporte Regional de la Macro Región Centro - Edición N° 283</t>
  </si>
  <si>
    <t>Lunes, 26 de marzo de 2018</t>
  </si>
  <si>
    <t>Republica Popular China</t>
  </si>
  <si>
    <t>Brasil</t>
  </si>
  <si>
    <t>Tumbes</t>
  </si>
  <si>
    <t>Cusco</t>
  </si>
  <si>
    <t>Puno</t>
  </si>
  <si>
    <t>Arequipa</t>
  </si>
  <si>
    <t>Venezuela</t>
  </si>
  <si>
    <t>Holanda - Paises Bajos</t>
  </si>
  <si>
    <t>MACRO</t>
  </si>
  <si>
    <t>Fuente: Mincetur                                                                                                                                                                                                                                                                     Elaboración: CIE- PERUCÁMARAS</t>
  </si>
  <si>
    <t>Macro Región Centro: Arribos a establecimientos de hospedaje</t>
  </si>
  <si>
    <t>Centro: Arribos a establecimientos de hospedaje</t>
  </si>
  <si>
    <t>Japon</t>
  </si>
  <si>
    <t>Mexico</t>
  </si>
  <si>
    <t>Corea Del Sur</t>
  </si>
  <si>
    <t>Israel</t>
  </si>
  <si>
    <t>Áncah</t>
  </si>
  <si>
    <t xml:space="preserve"> Monumento Arqueológico Chavín de Huántar</t>
  </si>
  <si>
    <t>Parque Nacional Huascarán</t>
  </si>
  <si>
    <t>Centro Arqueológico Intihuatana</t>
  </si>
  <si>
    <t>Complejo Arqueológico de Wari</t>
  </si>
  <si>
    <t>Museo Arqueológico Hipólito Unanue</t>
  </si>
  <si>
    <t>Museo de Sitio de Quinua</t>
  </si>
  <si>
    <t>Complejo Arqueológico Kotosh</t>
  </si>
  <si>
    <t>Parque Nacional de Tingo María (Cueva de las Lechuzas)</t>
  </si>
  <si>
    <t>Mirador de las Líneas de Nasca</t>
  </si>
  <si>
    <t>Reserva Nacional de Paracas</t>
  </si>
  <si>
    <t>Islas Ballestas (Abril 2017)</t>
  </si>
  <si>
    <t>Fuente: Mincetur                                                                                                                              Elaboración: CIE- PERUCÁMARAS</t>
  </si>
  <si>
    <t>Var. % 17/16</t>
  </si>
  <si>
    <t>Estados Unidos</t>
  </si>
  <si>
    <t>China</t>
  </si>
  <si>
    <t>Reino Unido</t>
  </si>
  <si>
    <t>"Arribo de turistas nacionales y extranjeros en el 2017"</t>
  </si>
  <si>
    <t>Macro Región Centro: Arribos nacionales y extranjeros – 2017</t>
  </si>
  <si>
    <t>Áncash: Arribos nacionales y extranjeros – 2017</t>
  </si>
  <si>
    <t>Apurímac: Arribos nacionales y extranjeros – 2017</t>
  </si>
  <si>
    <t>Ayacucho: Arribos nacionales y extranjeros – 2017</t>
  </si>
  <si>
    <t>Huancavelica: Arribos nacionales y extranjeros – 2017</t>
  </si>
  <si>
    <t>Huánuco: Arribos nacionales y extranjeros – 2017</t>
  </si>
  <si>
    <t>Ica: Arribos nacionales y extranjeros – 2017</t>
  </si>
  <si>
    <t>Junín: Arribos nacionales y extranjeros – 2017</t>
  </si>
  <si>
    <t>Pasco: Arribos nacionales y extranjeros –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</si>
</sst>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_ ;_ * \-#,##0_ ;_ * &quot;-&quot;??_ ;_ @_ "/>
    <numFmt numFmtId="174" formatCode="\(0.0%\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 Narrow"/>
      <family val="2"/>
    </font>
    <font>
      <sz val="10"/>
      <color rgb="FFFF00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Arial Narrow"/>
      <family val="2"/>
    </font>
    <font>
      <b/>
      <sz val="1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3" fillId="2" borderId="0" xfId="2" applyFill="1"/>
    <xf numFmtId="0" fontId="11" fillId="2" borderId="0" xfId="0" applyFont="1" applyFill="1"/>
    <xf numFmtId="0" fontId="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12" fillId="2" borderId="0" xfId="0" applyFont="1" applyFill="1" applyAlignment="1">
      <alignment vertical="center"/>
    </xf>
    <xf numFmtId="0" fontId="16" fillId="2" borderId="0" xfId="0" applyFont="1" applyFill="1"/>
    <xf numFmtId="172" fontId="16" fillId="2" borderId="0" xfId="0" applyNumberFormat="1" applyFont="1" applyFill="1"/>
    <xf numFmtId="164" fontId="16" fillId="2" borderId="0" xfId="1" applyNumberFormat="1" applyFont="1" applyFill="1"/>
    <xf numFmtId="165" fontId="7" fillId="2" borderId="0" xfId="0" applyNumberFormat="1" applyFont="1" applyFill="1"/>
    <xf numFmtId="164" fontId="7" fillId="2" borderId="0" xfId="1" applyNumberFormat="1" applyFont="1" applyFill="1"/>
    <xf numFmtId="17" fontId="9" fillId="2" borderId="0" xfId="0" applyNumberFormat="1" applyFont="1" applyFill="1"/>
    <xf numFmtId="0" fontId="19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2" fillId="2" borderId="0" xfId="0" applyFont="1" applyFill="1" applyBorder="1" applyAlignment="1"/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3" fontId="14" fillId="2" borderId="7" xfId="0" applyNumberFormat="1" applyFont="1" applyFill="1" applyBorder="1" applyAlignment="1"/>
    <xf numFmtId="164" fontId="0" fillId="2" borderId="9" xfId="1" applyNumberFormat="1" applyFont="1" applyFill="1" applyBorder="1" applyAlignment="1"/>
    <xf numFmtId="164" fontId="0" fillId="2" borderId="10" xfId="1" applyNumberFormat="1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2" xfId="0" applyFont="1" applyFill="1" applyBorder="1" applyAlignment="1"/>
    <xf numFmtId="0" fontId="11" fillId="2" borderId="0" xfId="0" applyFont="1" applyFill="1" applyBorder="1" applyAlignment="1"/>
    <xf numFmtId="164" fontId="11" fillId="2" borderId="0" xfId="1" applyNumberFormat="1" applyFont="1" applyFill="1" applyBorder="1" applyAlignment="1"/>
    <xf numFmtId="0" fontId="11" fillId="2" borderId="11" xfId="0" applyFont="1" applyFill="1" applyBorder="1" applyAlignment="1"/>
    <xf numFmtId="0" fontId="11" fillId="2" borderId="3" xfId="0" applyFont="1" applyFill="1" applyBorder="1" applyAlignment="1"/>
    <xf numFmtId="0" fontId="11" fillId="2" borderId="12" xfId="0" applyFont="1" applyFill="1" applyBorder="1" applyAlignment="1"/>
    <xf numFmtId="0" fontId="18" fillId="2" borderId="0" xfId="0" applyFont="1" applyFill="1" applyAlignment="1"/>
    <xf numFmtId="3" fontId="22" fillId="2" borderId="0" xfId="0" applyNumberFormat="1" applyFont="1" applyFill="1" applyBorder="1" applyAlignment="1"/>
    <xf numFmtId="0" fontId="7" fillId="2" borderId="4" xfId="0" applyFont="1" applyFill="1" applyBorder="1" applyAlignment="1"/>
    <xf numFmtId="0" fontId="7" fillId="2" borderId="7" xfId="0" applyFont="1" applyFill="1" applyBorder="1" applyAlignment="1">
      <alignment horizontal="center" vertical="center"/>
    </xf>
    <xf numFmtId="164" fontId="24" fillId="2" borderId="7" xfId="1" applyNumberFormat="1" applyFont="1" applyFill="1" applyBorder="1" applyAlignment="1"/>
    <xf numFmtId="164" fontId="2" fillId="2" borderId="7" xfId="1" applyNumberFormat="1" applyFont="1" applyFill="1" applyBorder="1" applyAlignment="1"/>
    <xf numFmtId="0" fontId="0" fillId="2" borderId="9" xfId="0" applyFont="1" applyFill="1" applyBorder="1" applyAlignment="1">
      <alignment horizontal="center"/>
    </xf>
    <xf numFmtId="164" fontId="15" fillId="2" borderId="0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/>
    <xf numFmtId="0" fontId="2" fillId="3" borderId="0" xfId="0" applyFont="1" applyFill="1" applyBorder="1" applyAlignment="1"/>
    <xf numFmtId="3" fontId="2" fillId="3" borderId="0" xfId="0" applyNumberFormat="1" applyFont="1" applyFill="1" applyBorder="1" applyAlignment="1"/>
    <xf numFmtId="164" fontId="2" fillId="2" borderId="0" xfId="1" applyNumberFormat="1" applyFont="1" applyFill="1" applyBorder="1" applyAlignment="1"/>
    <xf numFmtId="164" fontId="2" fillId="3" borderId="0" xfId="1" applyNumberFormat="1" applyFont="1" applyFill="1" applyBorder="1" applyAlignment="1"/>
    <xf numFmtId="172" fontId="7" fillId="2" borderId="0" xfId="0" applyNumberFormat="1" applyFont="1" applyFill="1" applyAlignment="1">
      <alignment horizontal="center"/>
    </xf>
    <xf numFmtId="0" fontId="16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3" fontId="11" fillId="2" borderId="0" xfId="0" applyNumberFormat="1" applyFont="1" applyFill="1" applyAlignment="1"/>
    <xf numFmtId="172" fontId="2" fillId="3" borderId="0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/>
    <xf numFmtId="164" fontId="26" fillId="2" borderId="0" xfId="1" applyNumberFormat="1" applyFont="1" applyFill="1" applyAlignment="1"/>
    <xf numFmtId="173" fontId="11" fillId="2" borderId="0" xfId="30" applyNumberFormat="1" applyFont="1" applyFill="1" applyAlignment="1"/>
    <xf numFmtId="0" fontId="25" fillId="4" borderId="0" xfId="0" applyFont="1" applyFill="1" applyBorder="1" applyAlignment="1">
      <alignment horizontal="left" vertical="center"/>
    </xf>
    <xf numFmtId="3" fontId="24" fillId="3" borderId="0" xfId="0" applyNumberFormat="1" applyFont="1" applyFill="1" applyBorder="1" applyAlignment="1"/>
    <xf numFmtId="164" fontId="28" fillId="3" borderId="0" xfId="1" applyNumberFormat="1" applyFont="1" applyFill="1" applyBorder="1" applyAlignment="1"/>
    <xf numFmtId="164" fontId="26" fillId="2" borderId="0" xfId="1" applyNumberFormat="1" applyFont="1" applyFill="1" applyBorder="1" applyAlignment="1"/>
    <xf numFmtId="0" fontId="24" fillId="3" borderId="14" xfId="0" applyFont="1" applyFill="1" applyBorder="1" applyAlignment="1"/>
    <xf numFmtId="3" fontId="24" fillId="3" borderId="14" xfId="0" applyNumberFormat="1" applyFont="1" applyFill="1" applyBorder="1" applyAlignment="1"/>
    <xf numFmtId="0" fontId="24" fillId="3" borderId="0" xfId="0" applyFont="1" applyFill="1" applyBorder="1" applyAlignment="1"/>
    <xf numFmtId="174" fontId="29" fillId="3" borderId="0" xfId="1" applyNumberFormat="1" applyFont="1" applyFill="1" applyBorder="1" applyAlignment="1"/>
    <xf numFmtId="174" fontId="29" fillId="3" borderId="14" xfId="1" applyNumberFormat="1" applyFont="1" applyFill="1" applyBorder="1" applyAlignment="1"/>
    <xf numFmtId="0" fontId="7" fillId="2" borderId="6" xfId="0" applyFont="1" applyFill="1" applyBorder="1" applyAlignment="1"/>
    <xf numFmtId="0" fontId="30" fillId="2" borderId="0" xfId="0" applyFont="1" applyFill="1" applyBorder="1" applyAlignment="1">
      <alignment vertical="center"/>
    </xf>
    <xf numFmtId="0" fontId="31" fillId="2" borderId="0" xfId="0" applyFont="1" applyFill="1" applyAlignment="1"/>
    <xf numFmtId="0" fontId="17" fillId="2" borderId="0" xfId="0" applyFont="1" applyFill="1" applyAlignment="1">
      <alignment vertical="top"/>
    </xf>
    <xf numFmtId="0" fontId="9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vertical="top"/>
    </xf>
    <xf numFmtId="3" fontId="15" fillId="2" borderId="7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27" fillId="4" borderId="10" xfId="0" applyFont="1" applyFill="1" applyBorder="1" applyAlignment="1">
      <alignment horizontal="center" vertical="center"/>
    </xf>
    <xf numFmtId="0" fontId="19" fillId="2" borderId="0" xfId="0" applyFont="1" applyFill="1"/>
    <xf numFmtId="3" fontId="16" fillId="2" borderId="0" xfId="0" applyNumberFormat="1" applyFont="1" applyFill="1"/>
    <xf numFmtId="3" fontId="16" fillId="2" borderId="0" xfId="1" applyNumberFormat="1" applyFont="1" applyFill="1"/>
    <xf numFmtId="0" fontId="27" fillId="2" borderId="0" xfId="0" applyFont="1" applyFill="1"/>
    <xf numFmtId="172" fontId="27" fillId="2" borderId="0" xfId="0" applyNumberFormat="1" applyFont="1" applyFill="1"/>
    <xf numFmtId="3" fontId="27" fillId="2" borderId="0" xfId="0" applyNumberFormat="1" applyFont="1" applyFill="1"/>
    <xf numFmtId="164" fontId="19" fillId="2" borderId="0" xfId="1" applyNumberFormat="1" applyFont="1" applyFill="1"/>
    <xf numFmtId="3" fontId="19" fillId="2" borderId="0" xfId="0" applyNumberFormat="1" applyFont="1" applyFill="1"/>
    <xf numFmtId="0" fontId="11" fillId="2" borderId="0" xfId="0" applyFont="1" applyFill="1" applyBorder="1"/>
    <xf numFmtId="0" fontId="7" fillId="2" borderId="0" xfId="0" applyFont="1" applyFill="1" applyBorder="1"/>
    <xf numFmtId="0" fontId="11" fillId="2" borderId="6" xfId="0" applyFont="1" applyFill="1" applyBorder="1"/>
    <xf numFmtId="0" fontId="11" fillId="2" borderId="2" xfId="0" applyFont="1" applyFill="1" applyBorder="1"/>
    <xf numFmtId="0" fontId="11" fillId="2" borderId="11" xfId="0" applyFont="1" applyFill="1" applyBorder="1"/>
    <xf numFmtId="0" fontId="11" fillId="2" borderId="3" xfId="0" applyFont="1" applyFill="1" applyBorder="1"/>
    <xf numFmtId="0" fontId="11" fillId="2" borderId="12" xfId="0" applyFont="1" applyFill="1" applyBorder="1"/>
    <xf numFmtId="0" fontId="3" fillId="0" borderId="0" xfId="2"/>
    <xf numFmtId="172" fontId="2" fillId="3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/>
    <xf numFmtId="0" fontId="22" fillId="5" borderId="0" xfId="0" applyFont="1" applyFill="1" applyBorder="1"/>
    <xf numFmtId="0" fontId="22" fillId="2" borderId="0" xfId="0" applyFont="1" applyFill="1" applyBorder="1"/>
    <xf numFmtId="3" fontId="22" fillId="2" borderId="0" xfId="0" applyNumberFormat="1" applyFont="1" applyFill="1" applyBorder="1"/>
    <xf numFmtId="3" fontId="22" fillId="5" borderId="0" xfId="0" applyNumberFormat="1" applyFont="1" applyFill="1" applyBorder="1"/>
    <xf numFmtId="0" fontId="22" fillId="2" borderId="3" xfId="0" applyFont="1" applyFill="1" applyBorder="1"/>
    <xf numFmtId="0" fontId="11" fillId="2" borderId="8" xfId="0" applyFont="1" applyFill="1" applyBorder="1"/>
    <xf numFmtId="164" fontId="2" fillId="2" borderId="8" xfId="1" applyNumberFormat="1" applyFont="1" applyFill="1" applyBorder="1" applyAlignment="1">
      <alignment horizontal="center"/>
    </xf>
    <xf numFmtId="0" fontId="9" fillId="2" borderId="7" xfId="0" applyFont="1" applyFill="1" applyBorder="1"/>
    <xf numFmtId="3" fontId="9" fillId="2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/>
    <xf numFmtId="3" fontId="9" fillId="3" borderId="7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/>
    <xf numFmtId="0" fontId="18" fillId="2" borderId="0" xfId="0" applyFont="1" applyFill="1" applyBorder="1" applyAlignment="1">
      <alignment vertical="center"/>
    </xf>
    <xf numFmtId="164" fontId="22" fillId="2" borderId="0" xfId="1" applyNumberFormat="1" applyFont="1" applyFill="1" applyBorder="1" applyAlignment="1"/>
    <xf numFmtId="0" fontId="22" fillId="3" borderId="0" xfId="0" applyFont="1" applyFill="1" applyBorder="1" applyAlignment="1"/>
    <xf numFmtId="0" fontId="32" fillId="2" borderId="0" xfId="0" applyFont="1" applyFill="1" applyBorder="1" applyAlignment="1">
      <alignment horizontal="left" vertical="center"/>
    </xf>
    <xf numFmtId="3" fontId="9" fillId="2" borderId="7" xfId="0" applyNumberFormat="1" applyFont="1" applyFill="1" applyBorder="1"/>
    <xf numFmtId="164" fontId="9" fillId="2" borderId="7" xfId="1" applyNumberFormat="1" applyFont="1" applyFill="1" applyBorder="1"/>
    <xf numFmtId="3" fontId="9" fillId="3" borderId="7" xfId="0" applyNumberFormat="1" applyFont="1" applyFill="1" applyBorder="1"/>
    <xf numFmtId="164" fontId="9" fillId="3" borderId="7" xfId="1" applyNumberFormat="1" applyFont="1" applyFill="1" applyBorder="1"/>
    <xf numFmtId="0" fontId="7" fillId="2" borderId="0" xfId="0" applyFont="1" applyFill="1" applyBorder="1" applyAlignment="1"/>
    <xf numFmtId="0" fontId="7" fillId="2" borderId="0" xfId="0" applyFont="1" applyFill="1" applyAlignment="1"/>
    <xf numFmtId="3" fontId="7" fillId="2" borderId="0" xfId="0" applyNumberFormat="1" applyFont="1" applyFill="1" applyBorder="1" applyAlignment="1"/>
    <xf numFmtId="164" fontId="9" fillId="2" borderId="0" xfId="1" applyNumberFormat="1" applyFont="1" applyFill="1" applyBorder="1" applyAlignment="1"/>
    <xf numFmtId="164" fontId="29" fillId="3" borderId="0" xfId="1" applyNumberFormat="1" applyFont="1" applyFill="1" applyBorder="1" applyAlignment="1"/>
    <xf numFmtId="0" fontId="16" fillId="2" borderId="0" xfId="0" applyFont="1" applyFill="1" applyAlignment="1">
      <alignment vertical="top"/>
    </xf>
    <xf numFmtId="0" fontId="33" fillId="2" borderId="0" xfId="0" applyFont="1" applyFill="1" applyAlignment="1"/>
    <xf numFmtId="0" fontId="24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/>
    </xf>
    <xf numFmtId="0" fontId="34" fillId="2" borderId="0" xfId="0" applyFont="1" applyFill="1" applyAlignment="1">
      <alignment horizontal="left" indent="1"/>
    </xf>
    <xf numFmtId="3" fontId="34" fillId="2" borderId="0" xfId="0" applyNumberFormat="1" applyFont="1" applyFill="1" applyAlignment="1">
      <alignment horizontal="left" indent="1"/>
    </xf>
    <xf numFmtId="0" fontId="20" fillId="4" borderId="3" xfId="0" applyFont="1" applyFill="1" applyBorder="1"/>
    <xf numFmtId="0" fontId="16" fillId="2" borderId="0" xfId="0" applyFont="1" applyFill="1" applyBorder="1"/>
    <xf numFmtId="3" fontId="2" fillId="2" borderId="0" xfId="0" applyNumberFormat="1" applyFont="1" applyFill="1" applyBorder="1"/>
    <xf numFmtId="164" fontId="2" fillId="2" borderId="0" xfId="1" applyNumberFormat="1" applyFont="1" applyFill="1" applyBorder="1"/>
    <xf numFmtId="0" fontId="2" fillId="5" borderId="0" xfId="0" applyFont="1" applyFill="1" applyBorder="1"/>
    <xf numFmtId="164" fontId="2" fillId="2" borderId="3" xfId="1" applyNumberFormat="1" applyFont="1" applyFill="1" applyBorder="1"/>
    <xf numFmtId="0" fontId="16" fillId="2" borderId="3" xfId="0" applyFont="1" applyFill="1" applyBorder="1"/>
    <xf numFmtId="3" fontId="2" fillId="2" borderId="3" xfId="0" applyNumberFormat="1" applyFont="1" applyFill="1" applyBorder="1"/>
    <xf numFmtId="0" fontId="35" fillId="2" borderId="0" xfId="0" applyFont="1" applyFill="1" applyBorder="1"/>
    <xf numFmtId="0" fontId="7" fillId="2" borderId="2" xfId="0" applyFont="1" applyFill="1" applyBorder="1" applyAlignment="1"/>
    <xf numFmtId="3" fontId="7" fillId="2" borderId="2" xfId="0" applyNumberFormat="1" applyFont="1" applyFill="1" applyBorder="1" applyAlignment="1"/>
    <xf numFmtId="3" fontId="19" fillId="2" borderId="0" xfId="0" applyNumberFormat="1" applyFont="1" applyFill="1" applyBorder="1" applyAlignment="1"/>
    <xf numFmtId="3" fontId="20" fillId="2" borderId="0" xfId="0" applyNumberFormat="1" applyFont="1" applyFill="1" applyBorder="1" applyAlignment="1"/>
    <xf numFmtId="3" fontId="24" fillId="2" borderId="0" xfId="0" applyNumberFormat="1" applyFont="1" applyFill="1" applyBorder="1"/>
    <xf numFmtId="3" fontId="36" fillId="5" borderId="0" xfId="0" applyNumberFormat="1" applyFont="1" applyFill="1" applyBorder="1"/>
    <xf numFmtId="0" fontId="36" fillId="5" borderId="0" xfId="0" applyFont="1" applyFill="1" applyBorder="1"/>
    <xf numFmtId="3" fontId="24" fillId="2" borderId="3" xfId="0" applyNumberFormat="1" applyFont="1" applyFill="1" applyBorder="1"/>
    <xf numFmtId="164" fontId="37" fillId="2" borderId="0" xfId="1" applyNumberFormat="1" applyFont="1" applyFill="1" applyBorder="1"/>
    <xf numFmtId="0" fontId="37" fillId="5" borderId="0" xfId="0" applyFont="1" applyFill="1" applyBorder="1"/>
    <xf numFmtId="164" fontId="37" fillId="2" borderId="3" xfId="1" applyNumberFormat="1" applyFont="1" applyFill="1" applyBorder="1"/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center" wrapText="1" indent="1"/>
    </xf>
    <xf numFmtId="0" fontId="23" fillId="2" borderId="0" xfId="0" applyFont="1" applyFill="1" applyBorder="1" applyAlignment="1">
      <alignment horizontal="left" vertical="center" wrapText="1" inden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colors>
    <mruColors>
      <color rgb="FFCC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ES" sz="1000" b="1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MACRO</a:t>
            </a:r>
            <a:r>
              <a:rPr lang="es-ES" sz="1000" b="1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 REGIÓN CENTRO: </a:t>
            </a:r>
            <a:r>
              <a:rPr lang="es-ES" sz="1000" b="1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NÚMERO DE HOTELES SEGÚN CATEGORÍA</a:t>
            </a:r>
          </a:p>
          <a:p>
            <a:pPr>
              <a:defRPr sz="1000" b="1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ES" sz="1000" b="1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(Unidades</a:t>
            </a:r>
            <a:r>
              <a:rPr lang="es-ES" sz="1000" b="1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 al </a:t>
            </a:r>
            <a:r>
              <a:rPr lang="es-ES" sz="1000" b="1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2017) </a:t>
            </a:r>
            <a:endParaRPr lang="es-PE" sz="1000" b="1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0777921801468E-2"/>
          <c:y val="0.19123991270364918"/>
          <c:w val="0.84029959413650834"/>
          <c:h val="0.5719586545126638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chemeClr val="accent2">
                  <a:lumMod val="40000"/>
                  <a:lumOff val="60000"/>
                </a:schemeClr>
              </a:fgClr>
              <a:bgClr>
                <a:schemeClr val="accent2">
                  <a:lumMod val="60000"/>
                  <a:lumOff val="40000"/>
                </a:schemeClr>
              </a:bgClr>
            </a:patt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Centro!$R$124:$V$124</c:f>
              <c:strCache>
                <c:ptCount val="5"/>
                <c:pt idx="0">
                  <c:v>Hotel 1 Estrella</c:v>
                </c:pt>
                <c:pt idx="1">
                  <c:v>Hotel 2 Estrellas</c:v>
                </c:pt>
                <c:pt idx="2">
                  <c:v>Hotel 3 Estrellas</c:v>
                </c:pt>
                <c:pt idx="3">
                  <c:v>Hotel 4 Estrellas</c:v>
                </c:pt>
                <c:pt idx="4">
                  <c:v>Hotel 5 Estrellas</c:v>
                </c:pt>
              </c:strCache>
            </c:strRef>
          </c:cat>
          <c:val>
            <c:numRef>
              <c:f>Centro!$R$125:$V$125</c:f>
              <c:numCache>
                <c:formatCode>General</c:formatCode>
                <c:ptCount val="5"/>
                <c:pt idx="0">
                  <c:v>113</c:v>
                </c:pt>
                <c:pt idx="1">
                  <c:v>332</c:v>
                </c:pt>
                <c:pt idx="2">
                  <c:v>176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86272"/>
        <c:axId val="102191872"/>
      </c:barChart>
      <c:catAx>
        <c:axId val="88886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102191872"/>
        <c:crosses val="autoZero"/>
        <c:auto val="1"/>
        <c:lblAlgn val="ctr"/>
        <c:lblOffset val="100"/>
        <c:noMultiLvlLbl val="0"/>
      </c:catAx>
      <c:valAx>
        <c:axId val="102191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888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MACRO REGIÓN CENTRO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Arribo de ciudadanos nacionales y extranjeros a establecimientos de hospedaje </a:t>
            </a:r>
            <a:endParaRPr lang="es-PE" sz="10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(Miles de arribos)</a:t>
            </a:r>
            <a:endParaRPr lang="es-PE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33075887910484"/>
          <c:y val="2.64315071890577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8190611204391128E-2"/>
          <c:y val="0.14612599781541166"/>
          <c:w val="0.93811410243647153"/>
          <c:h val="0.6651134976549840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Centro!$S$11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Centro!$R$16:$R$26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Centro!$S$16:$S$26</c:f>
              <c:numCache>
                <c:formatCode>#,##0</c:formatCode>
                <c:ptCount val="11"/>
                <c:pt idx="0">
                  <c:v>2916.2629999999999</c:v>
                </c:pt>
                <c:pt idx="1">
                  <c:v>3329.5250000000001</c:v>
                </c:pt>
                <c:pt idx="2">
                  <c:v>3546.3820000000001</c:v>
                </c:pt>
                <c:pt idx="3">
                  <c:v>3819.8870000000002</c:v>
                </c:pt>
                <c:pt idx="4">
                  <c:v>4071.7829999999999</c:v>
                </c:pt>
                <c:pt idx="5">
                  <c:v>4364.1530000000002</c:v>
                </c:pt>
                <c:pt idx="6">
                  <c:v>4581.634</c:v>
                </c:pt>
                <c:pt idx="7">
                  <c:v>5285.0929999999998</c:v>
                </c:pt>
                <c:pt idx="8">
                  <c:v>5524.9939999999997</c:v>
                </c:pt>
                <c:pt idx="9">
                  <c:v>5749.3869999999997</c:v>
                </c:pt>
                <c:pt idx="10">
                  <c:v>5857.5280000000002</c:v>
                </c:pt>
              </c:numCache>
            </c:numRef>
          </c:val>
        </c:ser>
        <c:ser>
          <c:idx val="2"/>
          <c:order val="1"/>
          <c:tx>
            <c:strRef>
              <c:f>Centro!$T$11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Centro!$R$16:$R$26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Centro!$T$16:$T$26</c:f>
              <c:numCache>
                <c:formatCode>#,##0</c:formatCode>
                <c:ptCount val="11"/>
                <c:pt idx="0">
                  <c:v>201.83500000000001</c:v>
                </c:pt>
                <c:pt idx="1">
                  <c:v>204.23699999999999</c:v>
                </c:pt>
                <c:pt idx="2">
                  <c:v>209.18100000000001</c:v>
                </c:pt>
                <c:pt idx="3">
                  <c:v>224.02</c:v>
                </c:pt>
                <c:pt idx="4">
                  <c:v>236.87700000000001</c:v>
                </c:pt>
                <c:pt idx="5">
                  <c:v>257.97500000000002</c:v>
                </c:pt>
                <c:pt idx="6">
                  <c:v>269.88600000000002</c:v>
                </c:pt>
                <c:pt idx="7">
                  <c:v>243.999</c:v>
                </c:pt>
                <c:pt idx="8">
                  <c:v>305.13</c:v>
                </c:pt>
                <c:pt idx="9">
                  <c:v>289.947</c:v>
                </c:pt>
                <c:pt idx="10">
                  <c:v>323.39600000000002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226176"/>
        <c:axId val="102707200"/>
      </c:barChart>
      <c:catAx>
        <c:axId val="10222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s-PE"/>
          </a:p>
        </c:txPr>
        <c:crossAx val="102707200"/>
        <c:crosses val="autoZero"/>
        <c:auto val="1"/>
        <c:lblAlgn val="ctr"/>
        <c:lblOffset val="100"/>
        <c:noMultiLvlLbl val="0"/>
      </c:catAx>
      <c:valAx>
        <c:axId val="102707200"/>
        <c:scaling>
          <c:orientation val="minMax"/>
          <c:max val="7000"/>
          <c:min val="2000"/>
        </c:scaling>
        <c:delete val="1"/>
        <c:axPos val="l"/>
        <c:numFmt formatCode="#,##0" sourceLinked="1"/>
        <c:majorTickMark val="out"/>
        <c:minorTickMark val="none"/>
        <c:tickLblPos val="nextTo"/>
        <c:crossAx val="102226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650039033004811E-2"/>
          <c:y val="0.21273894585460659"/>
          <c:w val="0.14848481481481479"/>
          <c:h val="0.11574965277777778"/>
        </c:manualLayout>
      </c:layout>
      <c:overlay val="0"/>
      <c:txPr>
        <a:bodyPr/>
        <a:lstStyle/>
        <a:p>
          <a:pPr>
            <a:defRPr sz="7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 Arribos de ciudadanos Extranjeros a la Macro Región Centro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(Miles</a:t>
            </a:r>
            <a:r>
              <a:rPr lang="en-US" sz="1000" b="0" baseline="0">
                <a:solidFill>
                  <a:sysClr val="windowText" lastClr="000000"/>
                </a:solidFill>
              </a:rPr>
              <a:t> </a:t>
            </a:r>
            <a:r>
              <a:rPr lang="en-US" sz="1000" b="0">
                <a:solidFill>
                  <a:sysClr val="windowText" lastClr="000000"/>
                </a:solidFill>
              </a:rPr>
              <a:t>de arribos y variación</a:t>
            </a:r>
            <a:r>
              <a:rPr lang="en-US" sz="1000" b="0" baseline="0">
                <a:solidFill>
                  <a:sysClr val="windowText" lastClr="000000"/>
                </a:solidFill>
              </a:rPr>
              <a:t> %, 2003 - 2017)</a:t>
            </a:r>
            <a:endParaRPr lang="en-US" sz="10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804475675411245"/>
          <c:y val="2.09225700164744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098648666435673E-2"/>
          <c:y val="0.15434019769357496"/>
          <c:w val="0.90593963500849906"/>
          <c:h val="0.70603679297089517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Centro!$Q$29:$Q$43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Centro!$S$29:$S$43</c:f>
              <c:numCache>
                <c:formatCode>#,##0</c:formatCode>
                <c:ptCount val="15"/>
                <c:pt idx="0">
                  <c:v>137.23400000000001</c:v>
                </c:pt>
                <c:pt idx="1">
                  <c:v>155.642</c:v>
                </c:pt>
                <c:pt idx="2">
                  <c:v>186.66300000000001</c:v>
                </c:pt>
                <c:pt idx="3">
                  <c:v>184.60400000000001</c:v>
                </c:pt>
                <c:pt idx="4">
                  <c:v>201.83500000000001</c:v>
                </c:pt>
                <c:pt idx="5">
                  <c:v>204.23699999999999</c:v>
                </c:pt>
                <c:pt idx="6">
                  <c:v>209.18100000000001</c:v>
                </c:pt>
                <c:pt idx="7">
                  <c:v>224.02</c:v>
                </c:pt>
                <c:pt idx="8">
                  <c:v>236.87700000000001</c:v>
                </c:pt>
                <c:pt idx="9">
                  <c:v>257.97500000000002</c:v>
                </c:pt>
                <c:pt idx="10">
                  <c:v>269.88600000000002</c:v>
                </c:pt>
                <c:pt idx="11">
                  <c:v>243.999</c:v>
                </c:pt>
                <c:pt idx="12">
                  <c:v>305.13</c:v>
                </c:pt>
                <c:pt idx="13">
                  <c:v>289.947</c:v>
                </c:pt>
                <c:pt idx="14">
                  <c:v>323.39600000000002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50848"/>
        <c:axId val="102749312"/>
      </c:barChart>
      <c:lineChart>
        <c:grouping val="standard"/>
        <c:varyColors val="0"/>
        <c:ser>
          <c:idx val="1"/>
          <c:order val="0"/>
          <c:spPr>
            <a:ln w="19050">
              <a:solidFill>
                <a:schemeClr val="accent2">
                  <a:alpha val="98000"/>
                </a:schemeClr>
              </a:solidFill>
              <a:prstDash val="sysDash"/>
            </a:ln>
          </c:spPr>
          <c:marker>
            <c:symbol val="circle"/>
            <c:size val="15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-4.853681384269226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182398295567327E-2"/>
                  <c:y val="3.1964668266593855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430744734159378E-2"/>
                  <c:y val="-3.4870950027457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8534438310620404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911679924540516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650" b="1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Centro!$Q$29:$Q$43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Centro!$R$29:$R$43</c:f>
              <c:numCache>
                <c:formatCode>0.0%</c:formatCode>
                <c:ptCount val="15"/>
                <c:pt idx="0">
                  <c:v>6.7123337922871312E-2</c:v>
                </c:pt>
                <c:pt idx="1">
                  <c:v>0.13413585554600171</c:v>
                </c:pt>
                <c:pt idx="2">
                  <c:v>0.19930995489649317</c:v>
                </c:pt>
                <c:pt idx="3">
                  <c:v>-1.1030573814842737E-2</c:v>
                </c:pt>
                <c:pt idx="4">
                  <c:v>9.3340339320924892E-2</c:v>
                </c:pt>
                <c:pt idx="5">
                  <c:v>1.1900810067629441E-2</c:v>
                </c:pt>
                <c:pt idx="6">
                  <c:v>2.4207171080656398E-2</c:v>
                </c:pt>
                <c:pt idx="7">
                  <c:v>7.0938565166052348E-2</c:v>
                </c:pt>
                <c:pt idx="8">
                  <c:v>5.7392197125256672E-2</c:v>
                </c:pt>
                <c:pt idx="9">
                  <c:v>8.9067321859023885E-2</c:v>
                </c:pt>
                <c:pt idx="10">
                  <c:v>4.617114061440053E-2</c:v>
                </c:pt>
                <c:pt idx="11">
                  <c:v>-9.5918276605677977E-2</c:v>
                </c:pt>
                <c:pt idx="12">
                  <c:v>0.25053791204062303</c:v>
                </c:pt>
                <c:pt idx="13">
                  <c:v>-4.9759119064005541E-2</c:v>
                </c:pt>
                <c:pt idx="14">
                  <c:v>0.11536246279492457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33696"/>
        <c:axId val="102735232"/>
      </c:lineChart>
      <c:catAx>
        <c:axId val="102733696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s-PE"/>
          </a:p>
        </c:txPr>
        <c:crossAx val="102735232"/>
        <c:crosses val="autoZero"/>
        <c:auto val="1"/>
        <c:lblAlgn val="ctr"/>
        <c:lblOffset val="100"/>
        <c:noMultiLvlLbl val="0"/>
      </c:catAx>
      <c:valAx>
        <c:axId val="102735232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102733696"/>
        <c:crosses val="autoZero"/>
        <c:crossBetween val="between"/>
      </c:valAx>
      <c:valAx>
        <c:axId val="102749312"/>
        <c:scaling>
          <c:orientation val="minMax"/>
          <c:max val="350"/>
          <c:min val="-17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102750848"/>
        <c:crosses val="max"/>
        <c:crossBetween val="between"/>
      </c:valAx>
      <c:catAx>
        <c:axId val="102750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74931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MACRO REGIÓN CENTRO: </a:t>
            </a:r>
          </a:p>
          <a:p>
            <a:pPr>
              <a:defRPr sz="9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NÚMERO DE ARRIBOS A ESTABLECIMIENTOS DE HOSPEDAJE </a:t>
            </a:r>
          </a:p>
          <a:p>
            <a:pPr>
              <a:defRPr sz="9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900" b="0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(Miles)</a:t>
            </a:r>
            <a:endParaRPr lang="en-US" sz="900" b="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3773662509506691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278429054852097E-2"/>
          <c:y val="0.21652847222222221"/>
          <c:w val="0.92353092117391056"/>
          <c:h val="0.60244513888888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Centro!$U$36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Centro!$J$37:$J$44</c:f>
              <c:strCache>
                <c:ptCount val="8"/>
                <c:pt idx="0">
                  <c:v>Ica</c:v>
                </c:pt>
                <c:pt idx="1">
                  <c:v>Junín</c:v>
                </c:pt>
                <c:pt idx="2">
                  <c:v>Áncash</c:v>
                </c:pt>
                <c:pt idx="3">
                  <c:v>Huánuco</c:v>
                </c:pt>
                <c:pt idx="4">
                  <c:v>Apurímac</c:v>
                </c:pt>
                <c:pt idx="5">
                  <c:v>Ayacucho</c:v>
                </c:pt>
                <c:pt idx="6">
                  <c:v>Pasco</c:v>
                </c:pt>
                <c:pt idx="7">
                  <c:v>Huancavelica</c:v>
                </c:pt>
              </c:strCache>
            </c:strRef>
          </c:cat>
          <c:val>
            <c:numRef>
              <c:f>Centro!$U$37:$U$44</c:f>
              <c:numCache>
                <c:formatCode>#,##0</c:formatCode>
                <c:ptCount val="8"/>
                <c:pt idx="0">
                  <c:v>1437.127</c:v>
                </c:pt>
                <c:pt idx="1">
                  <c:v>1328.8489999999999</c:v>
                </c:pt>
                <c:pt idx="2">
                  <c:v>1020.109</c:v>
                </c:pt>
                <c:pt idx="3">
                  <c:v>789.12199999999996</c:v>
                </c:pt>
                <c:pt idx="4">
                  <c:v>487.69400000000002</c:v>
                </c:pt>
                <c:pt idx="5">
                  <c:v>488.745</c:v>
                </c:pt>
                <c:pt idx="6">
                  <c:v>265.02800000000002</c:v>
                </c:pt>
                <c:pt idx="7">
                  <c:v>222.66</c:v>
                </c:pt>
              </c:numCache>
            </c:numRef>
          </c:val>
        </c:ser>
        <c:ser>
          <c:idx val="1"/>
          <c:order val="1"/>
          <c:tx>
            <c:strRef>
              <c:f>Centro!$V$36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Centro!$J$37:$J$44</c:f>
              <c:strCache>
                <c:ptCount val="8"/>
                <c:pt idx="0">
                  <c:v>Ica</c:v>
                </c:pt>
                <c:pt idx="1">
                  <c:v>Junín</c:v>
                </c:pt>
                <c:pt idx="2">
                  <c:v>Áncash</c:v>
                </c:pt>
                <c:pt idx="3">
                  <c:v>Huánuco</c:v>
                </c:pt>
                <c:pt idx="4">
                  <c:v>Apurímac</c:v>
                </c:pt>
                <c:pt idx="5">
                  <c:v>Ayacucho</c:v>
                </c:pt>
                <c:pt idx="6">
                  <c:v>Pasco</c:v>
                </c:pt>
                <c:pt idx="7">
                  <c:v>Huancavelica</c:v>
                </c:pt>
              </c:strCache>
            </c:strRef>
          </c:cat>
          <c:val>
            <c:numRef>
              <c:f>Centro!$V$37:$V$44</c:f>
              <c:numCache>
                <c:formatCode>#,##0</c:formatCode>
                <c:ptCount val="8"/>
                <c:pt idx="0">
                  <c:v>1477.8409999999999</c:v>
                </c:pt>
                <c:pt idx="1">
                  <c:v>1272.902</c:v>
                </c:pt>
                <c:pt idx="2">
                  <c:v>1132.509</c:v>
                </c:pt>
                <c:pt idx="3">
                  <c:v>802.072</c:v>
                </c:pt>
                <c:pt idx="4">
                  <c:v>538.81899999999996</c:v>
                </c:pt>
                <c:pt idx="5">
                  <c:v>439.54500000000002</c:v>
                </c:pt>
                <c:pt idx="6">
                  <c:v>301.36900000000003</c:v>
                </c:pt>
                <c:pt idx="7">
                  <c:v>215.86699999999999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-7"/>
        <c:axId val="102798080"/>
        <c:axId val="102799616"/>
      </c:barChart>
      <c:catAx>
        <c:axId val="102798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102799616"/>
        <c:crosses val="autoZero"/>
        <c:auto val="1"/>
        <c:lblAlgn val="ctr"/>
        <c:lblOffset val="100"/>
        <c:noMultiLvlLbl val="0"/>
      </c:catAx>
      <c:valAx>
        <c:axId val="1027996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279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32158409934938"/>
          <c:y val="0.2041829861111111"/>
          <c:w val="0.17230722222222219"/>
          <c:h val="0.15948124999999999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prstDash val="sysDot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10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ARRIBOS A ESTABLECIMIENTOS</a:t>
            </a:r>
            <a:r>
              <a:rPr lang="en-US" sz="100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</a:t>
            </a:r>
            <a:r>
              <a:rPr lang="en-US" sz="10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DE HOSPEDAJE POR REGIONES, 2017</a:t>
            </a:r>
          </a:p>
          <a:p>
            <a:pPr>
              <a:defRPr sz="10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10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(Miles de arribos</a:t>
            </a:r>
            <a:r>
              <a:rPr lang="en-US" sz="100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y %)</a:t>
            </a:r>
            <a:endParaRPr lang="en-US" sz="1000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8726851890437823"/>
          <c:y val="2.2048599670510708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482552024356788"/>
          <c:y val="0.25935996705107078"/>
          <c:w val="0.46557804697200822"/>
          <c:h val="0.53327402526084577"/>
        </c:manualLayout>
      </c:layout>
      <c:pie3D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4.9265524366576968E-2"/>
                  <c:y val="-9.4151565074135093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1.6421841455525627E-2"/>
                  <c:y val="0.12902251510159254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2.3459773507893709E-2"/>
                  <c:y val="0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4.2227592314208778E-2"/>
                  <c:y val="3.4870950027457441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6.8033343172891877E-2"/>
                  <c:y val="3.8358045030203188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4545059574894126"/>
                  <c:y val="-7.671609006040637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3.7535637612630006E-2"/>
                  <c:y val="-3.13838550247117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0497705560261879E-2"/>
                  <c:y val="-2.7896760021965953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Centro!$S$82:$S$89</c:f>
              <c:strCache>
                <c:ptCount val="8"/>
                <c:pt idx="0">
                  <c:v>Ica</c:v>
                </c:pt>
                <c:pt idx="1">
                  <c:v>Junín</c:v>
                </c:pt>
                <c:pt idx="2">
                  <c:v>Áncash</c:v>
                </c:pt>
                <c:pt idx="3">
                  <c:v>Huánuco</c:v>
                </c:pt>
                <c:pt idx="4">
                  <c:v>Apurímac</c:v>
                </c:pt>
                <c:pt idx="5">
                  <c:v>Ayacucho</c:v>
                </c:pt>
                <c:pt idx="6">
                  <c:v>Pasco</c:v>
                </c:pt>
                <c:pt idx="7">
                  <c:v>Huancavelica</c:v>
                </c:pt>
              </c:strCache>
            </c:strRef>
          </c:cat>
          <c:val>
            <c:numRef>
              <c:f>Centro!$T$82:$T$89</c:f>
              <c:numCache>
                <c:formatCode>#,##0</c:formatCode>
                <c:ptCount val="8"/>
                <c:pt idx="0">
                  <c:v>1477.8409999999999</c:v>
                </c:pt>
                <c:pt idx="1">
                  <c:v>1272.902</c:v>
                </c:pt>
                <c:pt idx="2">
                  <c:v>1132.509</c:v>
                </c:pt>
                <c:pt idx="3">
                  <c:v>802.072</c:v>
                </c:pt>
                <c:pt idx="4">
                  <c:v>538.81899999999996</c:v>
                </c:pt>
                <c:pt idx="5">
                  <c:v>439.54500000000002</c:v>
                </c:pt>
                <c:pt idx="6">
                  <c:v>301.36900000000003</c:v>
                </c:pt>
                <c:pt idx="7">
                  <c:v>215.86699999999999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N°</a:t>
            </a:r>
            <a:r>
              <a:rPr lang="en-US" sz="1000" baseline="0">
                <a:latin typeface="Arial Narrow" panose="020B0606020202030204" pitchFamily="34" charset="0"/>
              </a:rPr>
              <a:t> de visitantes extranjeros a establecimientos de hospedaje según lugar de procedencia</a:t>
            </a:r>
            <a:endParaRPr lang="en-US" sz="100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86569444444444"/>
          <c:y val="0.19598765432098766"/>
          <c:w val="0.67989416666666669"/>
          <c:h val="0.63134074074074076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chemeClr val="accent2">
                  <a:lumMod val="40000"/>
                  <a:lumOff val="60000"/>
                </a:schemeClr>
              </a:fgClr>
              <a:bgClr>
                <a:srgbClr val="FF5050"/>
              </a:bgClr>
            </a:pattFill>
            <a:ln>
              <a:solidFill>
                <a:srgbClr val="CC0000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Centro!$R$130:$R$139</c:f>
              <c:strCache>
                <c:ptCount val="10"/>
                <c:pt idx="0">
                  <c:v>Estados Unidos</c:v>
                </c:pt>
                <c:pt idx="1">
                  <c:v>Francia</c:v>
                </c:pt>
                <c:pt idx="2">
                  <c:v>Alemania</c:v>
                </c:pt>
                <c:pt idx="3">
                  <c:v>Espana</c:v>
                </c:pt>
                <c:pt idx="4">
                  <c:v>Italia</c:v>
                </c:pt>
                <c:pt idx="5">
                  <c:v>China</c:v>
                </c:pt>
                <c:pt idx="6">
                  <c:v>Canada</c:v>
                </c:pt>
                <c:pt idx="7">
                  <c:v>Colombia</c:v>
                </c:pt>
                <c:pt idx="8">
                  <c:v>Reino Unido</c:v>
                </c:pt>
                <c:pt idx="9">
                  <c:v>Otros</c:v>
                </c:pt>
              </c:strCache>
            </c:strRef>
          </c:cat>
          <c:val>
            <c:numRef>
              <c:f>Centro!$S$130:$S$139</c:f>
              <c:numCache>
                <c:formatCode>#,##0</c:formatCode>
                <c:ptCount val="10"/>
                <c:pt idx="0">
                  <c:v>36179</c:v>
                </c:pt>
                <c:pt idx="1">
                  <c:v>27623</c:v>
                </c:pt>
                <c:pt idx="2">
                  <c:v>24670</c:v>
                </c:pt>
                <c:pt idx="3">
                  <c:v>20311</c:v>
                </c:pt>
                <c:pt idx="4">
                  <c:v>15293</c:v>
                </c:pt>
                <c:pt idx="5">
                  <c:v>15237</c:v>
                </c:pt>
                <c:pt idx="6">
                  <c:v>14097</c:v>
                </c:pt>
                <c:pt idx="7">
                  <c:v>14094</c:v>
                </c:pt>
                <c:pt idx="8">
                  <c:v>12290</c:v>
                </c:pt>
                <c:pt idx="9">
                  <c:v>143602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28672"/>
        <c:axId val="102830464"/>
      </c:barChart>
      <c:catAx>
        <c:axId val="10282867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102830464"/>
        <c:crosses val="autoZero"/>
        <c:auto val="1"/>
        <c:lblAlgn val="ctr"/>
        <c:lblOffset val="100"/>
        <c:noMultiLvlLbl val="0"/>
      </c:catAx>
      <c:valAx>
        <c:axId val="102830464"/>
        <c:scaling>
          <c:orientation val="minMax"/>
          <c:max val="4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>
            <a:solidFill>
              <a:schemeClr val="bg1"/>
            </a:solidFill>
          </a:ln>
        </c:spPr>
        <c:crossAx val="10282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749745</xdr:colOff>
      <xdr:row>94</xdr:row>
      <xdr:rowOff>200770</xdr:rowOff>
    </xdr:from>
    <xdr:to>
      <xdr:col>22</xdr:col>
      <xdr:colOff>762000</xdr:colOff>
      <xdr:row>110</xdr:row>
      <xdr:rowOff>10358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9542</xdr:colOff>
      <xdr:row>10</xdr:row>
      <xdr:rowOff>5145</xdr:rowOff>
    </xdr:from>
    <xdr:to>
      <xdr:col>22</xdr:col>
      <xdr:colOff>829140</xdr:colOff>
      <xdr:row>25</xdr:row>
      <xdr:rowOff>42933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20686</xdr:colOff>
      <xdr:row>26</xdr:row>
      <xdr:rowOff>116175</xdr:rowOff>
    </xdr:from>
    <xdr:to>
      <xdr:col>22</xdr:col>
      <xdr:colOff>842839</xdr:colOff>
      <xdr:row>45</xdr:row>
      <xdr:rowOff>138675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762675</xdr:colOff>
      <xdr:row>47</xdr:row>
      <xdr:rowOff>164856</xdr:rowOff>
    </xdr:from>
    <xdr:to>
      <xdr:col>22</xdr:col>
      <xdr:colOff>809625</xdr:colOff>
      <xdr:row>62</xdr:row>
      <xdr:rowOff>187356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742250</xdr:colOff>
      <xdr:row>73</xdr:row>
      <xdr:rowOff>172450</xdr:rowOff>
    </xdr:from>
    <xdr:to>
      <xdr:col>22</xdr:col>
      <xdr:colOff>805207</xdr:colOff>
      <xdr:row>93</xdr:row>
      <xdr:rowOff>4450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238125</xdr:colOff>
      <xdr:row>113</xdr:row>
      <xdr:rowOff>185736</xdr:rowOff>
    </xdr:from>
    <xdr:to>
      <xdr:col>22</xdr:col>
      <xdr:colOff>32887</xdr:colOff>
      <xdr:row>133</xdr:row>
      <xdr:rowOff>190499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0.00164</cdr:x>
      <cdr:y>0.87106</cdr:y>
    </cdr:from>
    <cdr:to>
      <cdr:x>0.99471</cdr:x>
      <cdr:y>0.99614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833" y="2508648"/>
          <a:ext cx="5354301" cy="360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 b="1">
              <a:latin typeface="Arial Narrow" panose="020B0606020202030204" pitchFamily="34" charset="0"/>
            </a:rPr>
            <a:t>Nota: </a:t>
          </a:r>
          <a:r>
            <a:rPr lang="es-PE" sz="700">
              <a:latin typeface="Arial Narrow" panose="020B0606020202030204" pitchFamily="34" charset="0"/>
            </a:rPr>
            <a:t>se consideran hoteles, apart-hotel, hostales y resort.</a:t>
          </a:r>
        </a:p>
        <a:p xmlns:a="http://schemas.openxmlformats.org/drawingml/2006/main">
          <a:pPr algn="l"/>
          <a:endParaRPr lang="es-PE" sz="600">
            <a:latin typeface="Arial Narrow" panose="020B0606020202030204" pitchFamily="34" charset="0"/>
          </a:endParaRPr>
        </a:p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0.92218</cdr:y>
    </cdr:from>
    <cdr:to>
      <cdr:x>0.98768</cdr:x>
      <cdr:y>0.98723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58571"/>
          <a:ext cx="5327680" cy="187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  <cdr:relSizeAnchor xmlns:cdr="http://schemas.openxmlformats.org/drawingml/2006/chartDrawing">
    <cdr:from>
      <cdr:x>0.04641</cdr:x>
      <cdr:y>0.3355</cdr:y>
    </cdr:from>
    <cdr:to>
      <cdr:x>0.21557</cdr:x>
      <cdr:y>0.653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51185" y="968600"/>
          <a:ext cx="915545" cy="91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Total arribos en la macro región :</a:t>
          </a:r>
        </a:p>
        <a:p xmlns:a="http://schemas.openxmlformats.org/drawingml/2006/main">
          <a:r>
            <a:rPr lang="es-PE" sz="75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6'180,924,</a:t>
          </a:r>
          <a:r>
            <a:rPr lang="es-PE" sz="750" baseline="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 entre nacionales y extranjeros</a:t>
          </a:r>
          <a:endParaRPr lang="es-PE" sz="750">
            <a:solidFill>
              <a:schemeClr val="accent2">
                <a:lumMod val="75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0.92311</cdr:y>
    </cdr:from>
    <cdr:to>
      <cdr:x>1</cdr:x>
      <cdr:y>0.99101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58555"/>
          <a:ext cx="5399568" cy="195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0.9321</cdr:y>
    </cdr:from>
    <cdr:to>
      <cdr:x>0.99938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84438"/>
          <a:ext cx="5396638" cy="195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  <cdr:relSizeAnchor xmlns:cdr="http://schemas.openxmlformats.org/drawingml/2006/chartDrawing">
    <cdr:from>
      <cdr:x>0.33687</cdr:x>
      <cdr:y>0.41523</cdr:y>
    </cdr:from>
    <cdr:to>
      <cdr:x>0.36357</cdr:x>
      <cdr:y>0.47773</cdr:y>
    </cdr:to>
    <cdr:sp macro="" textlink="">
      <cdr:nvSpPr>
        <cdr:cNvPr id="3" name="1 Flecha abajo"/>
        <cdr:cNvSpPr/>
      </cdr:nvSpPr>
      <cdr:spPr>
        <a:xfrm xmlns:a="http://schemas.openxmlformats.org/drawingml/2006/main" rot="10800000">
          <a:off x="1818281" y="1195859"/>
          <a:ext cx="144113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0.21892</cdr:x>
      <cdr:y>0.35916</cdr:y>
    </cdr:from>
    <cdr:to>
      <cdr:x>0.2456</cdr:x>
      <cdr:y>0.42166</cdr:y>
    </cdr:to>
    <cdr:sp macro="" textlink="">
      <cdr:nvSpPr>
        <cdr:cNvPr id="4" name="1 Flecha abajo"/>
        <cdr:cNvSpPr/>
      </cdr:nvSpPr>
      <cdr:spPr>
        <a:xfrm xmlns:a="http://schemas.openxmlformats.org/drawingml/2006/main">
          <a:off x="1181609" y="1034374"/>
          <a:ext cx="144005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0.91508</cdr:x>
      <cdr:y>0.74941</cdr:y>
    </cdr:from>
    <cdr:to>
      <cdr:x>0.94176</cdr:x>
      <cdr:y>0.81191</cdr:y>
    </cdr:to>
    <cdr:sp macro="" textlink="">
      <cdr:nvSpPr>
        <cdr:cNvPr id="5" name="1 Flecha abajo"/>
        <cdr:cNvSpPr/>
      </cdr:nvSpPr>
      <cdr:spPr>
        <a:xfrm xmlns:a="http://schemas.openxmlformats.org/drawingml/2006/main">
          <a:off x="4939153" y="2158291"/>
          <a:ext cx="144006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0.56745</cdr:x>
      <cdr:y>0.62863</cdr:y>
    </cdr:from>
    <cdr:to>
      <cdr:x>0.59415</cdr:x>
      <cdr:y>0.69113</cdr:y>
    </cdr:to>
    <cdr:sp macro="" textlink="">
      <cdr:nvSpPr>
        <cdr:cNvPr id="6" name="1 Flecha abajo"/>
        <cdr:cNvSpPr/>
      </cdr:nvSpPr>
      <cdr:spPr>
        <a:xfrm xmlns:a="http://schemas.openxmlformats.org/drawingml/2006/main" rot="10800000">
          <a:off x="3062825" y="1810444"/>
          <a:ext cx="144114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0.10609</cdr:x>
      <cdr:y>0.27935</cdr:y>
    </cdr:from>
    <cdr:to>
      <cdr:x>0.13279</cdr:x>
      <cdr:y>0.34185</cdr:y>
    </cdr:to>
    <cdr:sp macro="" textlink="">
      <cdr:nvSpPr>
        <cdr:cNvPr id="7" name="1 Flecha abajo"/>
        <cdr:cNvSpPr/>
      </cdr:nvSpPr>
      <cdr:spPr>
        <a:xfrm xmlns:a="http://schemas.openxmlformats.org/drawingml/2006/main" rot="10800000">
          <a:off x="572598" y="804529"/>
          <a:ext cx="144113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0.45135</cdr:x>
      <cdr:y>0.54681</cdr:y>
    </cdr:from>
    <cdr:to>
      <cdr:x>0.47805</cdr:x>
      <cdr:y>0.60931</cdr:y>
    </cdr:to>
    <cdr:sp macro="" textlink="">
      <cdr:nvSpPr>
        <cdr:cNvPr id="8" name="1 Flecha abajo"/>
        <cdr:cNvSpPr/>
      </cdr:nvSpPr>
      <cdr:spPr>
        <a:xfrm xmlns:a="http://schemas.openxmlformats.org/drawingml/2006/main" rot="10800000">
          <a:off x="2436178" y="1574811"/>
          <a:ext cx="144113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0.80122</cdr:x>
      <cdr:y>0.71648</cdr:y>
    </cdr:from>
    <cdr:to>
      <cdr:x>0.82792</cdr:x>
      <cdr:y>0.77898</cdr:y>
    </cdr:to>
    <cdr:sp macro="" textlink="">
      <cdr:nvSpPr>
        <cdr:cNvPr id="9" name="1 Flecha abajo"/>
        <cdr:cNvSpPr/>
      </cdr:nvSpPr>
      <cdr:spPr>
        <a:xfrm xmlns:a="http://schemas.openxmlformats.org/drawingml/2006/main" rot="10800000">
          <a:off x="4324601" y="2063470"/>
          <a:ext cx="144114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0.68153</cdr:x>
      <cdr:y>0.66759</cdr:y>
    </cdr:from>
    <cdr:to>
      <cdr:x>0.70821</cdr:x>
      <cdr:y>0.73009</cdr:y>
    </cdr:to>
    <cdr:sp macro="" textlink="">
      <cdr:nvSpPr>
        <cdr:cNvPr id="10" name="1 Flecha abajo"/>
        <cdr:cNvSpPr/>
      </cdr:nvSpPr>
      <cdr:spPr>
        <a:xfrm xmlns:a="http://schemas.openxmlformats.org/drawingml/2006/main">
          <a:off x="3678565" y="1922655"/>
          <a:ext cx="144005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0.90866</cdr:y>
    </cdr:from>
    <cdr:to>
      <cdr:x>0.99852</cdr:x>
      <cdr:y>0.97657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16947"/>
          <a:ext cx="5399998" cy="195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0.90105</cdr:y>
    </cdr:from>
    <cdr:to>
      <cdr:x>1</cdr:x>
      <cdr:y>0.99454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919413"/>
          <a:ext cx="3600000" cy="302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</a:t>
          </a:r>
        </a:p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Elaboración: CIE- PERUCÁMARAS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A2" sqref="A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52" t="s">
        <v>118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2:18" ht="19.5" customHeight="1" x14ac:dyDescent="0.25">
      <c r="B4" s="153" t="s">
        <v>153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2:18" ht="15" customHeight="1" x14ac:dyDescent="0.25">
      <c r="B5" s="154" t="s">
        <v>119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4" t="s">
        <v>161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15" ht="1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101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56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664,526.0 arribos de turistas nacionales y extranjeros, mientras que el 2017 los  arribos de turistas extranjeros y nacionales sumaron 1,272,902.0, representando un  crecimiento promedio anual de 6.7%   en el periodo 2006 – 2016.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32"/>
    </row>
    <row r="8" spans="2:15" x14ac:dyDescent="0.25">
      <c r="B8" s="31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65" t="s">
        <v>102</v>
      </c>
      <c r="G10" s="165"/>
      <c r="H10" s="165"/>
      <c r="I10" s="165"/>
      <c r="J10" s="165"/>
      <c r="K10" s="165"/>
      <c r="L10" s="165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6</v>
      </c>
      <c r="G11" s="19" t="s">
        <v>7</v>
      </c>
      <c r="H11" s="18" t="s">
        <v>8</v>
      </c>
      <c r="I11" s="19" t="s">
        <v>9</v>
      </c>
      <c r="J11" s="18" t="s">
        <v>8</v>
      </c>
      <c r="K11" s="18" t="s">
        <v>10</v>
      </c>
      <c r="L11" s="18" t="s">
        <v>8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477616</v>
      </c>
      <c r="H12" s="42"/>
      <c r="I12" s="25">
        <v>4617</v>
      </c>
      <c r="J12" s="42"/>
      <c r="K12" s="25">
        <f>+I12+G12</f>
        <v>482233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530542</v>
      </c>
      <c r="H13" s="43">
        <f>+G13/G12-1</f>
        <v>0.11081287059059997</v>
      </c>
      <c r="I13" s="25">
        <v>4340</v>
      </c>
      <c r="J13" s="43">
        <f>+I13/I12-1</f>
        <v>-5.9995668182802664E-2</v>
      </c>
      <c r="K13" s="25">
        <f>+I13+G13</f>
        <v>534882</v>
      </c>
      <c r="L13" s="43">
        <f>+K13/K12-1</f>
        <v>0.10917751377446172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577261</v>
      </c>
      <c r="H14" s="43">
        <f t="shared" ref="H14:J26" si="0">+G14/G13-1</f>
        <v>8.8059003811196801E-2</v>
      </c>
      <c r="I14" s="25">
        <v>4440</v>
      </c>
      <c r="J14" s="43">
        <f t="shared" si="0"/>
        <v>2.3041474654377891E-2</v>
      </c>
      <c r="K14" s="25">
        <f t="shared" ref="K14:K26" si="1">+I14+G14</f>
        <v>581701</v>
      </c>
      <c r="L14" s="43">
        <f t="shared" ref="L14:L26" si="2">+K14/K13-1</f>
        <v>8.7531455535987401E-2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640665</v>
      </c>
      <c r="H15" s="43">
        <f t="shared" si="0"/>
        <v>0.10983593210003795</v>
      </c>
      <c r="I15" s="25">
        <v>5704</v>
      </c>
      <c r="J15" s="43">
        <f t="shared" si="0"/>
        <v>0.28468468468468466</v>
      </c>
      <c r="K15" s="25">
        <f t="shared" si="1"/>
        <v>646369</v>
      </c>
      <c r="L15" s="43">
        <f t="shared" si="2"/>
        <v>0.11117051543662471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657518</v>
      </c>
      <c r="H16" s="43">
        <f t="shared" si="0"/>
        <v>2.6305479462745751E-2</v>
      </c>
      <c r="I16" s="25">
        <v>7008</v>
      </c>
      <c r="J16" s="43">
        <f t="shared" si="0"/>
        <v>0.22861150070126235</v>
      </c>
      <c r="K16" s="25">
        <f t="shared" si="1"/>
        <v>664526</v>
      </c>
      <c r="L16" s="43">
        <f t="shared" si="2"/>
        <v>2.8090765491538106E-2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733250</v>
      </c>
      <c r="H17" s="43">
        <f t="shared" si="0"/>
        <v>0.11517859587113954</v>
      </c>
      <c r="I17" s="25">
        <v>8763</v>
      </c>
      <c r="J17" s="43">
        <f t="shared" si="0"/>
        <v>0.25042808219178081</v>
      </c>
      <c r="K17" s="25">
        <f t="shared" si="1"/>
        <v>742013</v>
      </c>
      <c r="L17" s="43">
        <f t="shared" si="2"/>
        <v>0.11660491839295983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809160</v>
      </c>
      <c r="H18" s="43">
        <f t="shared" si="0"/>
        <v>0.10352540061370608</v>
      </c>
      <c r="I18" s="25">
        <v>8320</v>
      </c>
      <c r="J18" s="43">
        <f t="shared" si="0"/>
        <v>-5.0553463425767386E-2</v>
      </c>
      <c r="K18" s="25">
        <f t="shared" si="1"/>
        <v>817480</v>
      </c>
      <c r="L18" s="43">
        <f t="shared" si="2"/>
        <v>0.10170576526287278</v>
      </c>
      <c r="M18" s="181" t="s">
        <v>11</v>
      </c>
      <c r="N18" s="182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865342</v>
      </c>
      <c r="H19" s="43">
        <f t="shared" si="0"/>
        <v>6.9432497899055701E-2</v>
      </c>
      <c r="I19" s="25">
        <v>5818</v>
      </c>
      <c r="J19" s="43">
        <f t="shared" si="0"/>
        <v>-0.30072115384615383</v>
      </c>
      <c r="K19" s="25">
        <f t="shared" si="1"/>
        <v>871160</v>
      </c>
      <c r="L19" s="43">
        <f t="shared" si="2"/>
        <v>6.5665215051132764E-2</v>
      </c>
      <c r="M19" s="181"/>
      <c r="N19" s="182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940554</v>
      </c>
      <c r="H20" s="43">
        <f t="shared" si="0"/>
        <v>8.6915924570863279E-2</v>
      </c>
      <c r="I20" s="25">
        <v>5892</v>
      </c>
      <c r="J20" s="43">
        <f t="shared" si="0"/>
        <v>1.2719147473358561E-2</v>
      </c>
      <c r="K20" s="25">
        <f t="shared" si="1"/>
        <v>946446</v>
      </c>
      <c r="L20" s="43">
        <f t="shared" si="2"/>
        <v>8.6420404977271659E-2</v>
      </c>
      <c r="M20" s="181"/>
      <c r="N20" s="182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988690</v>
      </c>
      <c r="H21" s="43">
        <f t="shared" si="0"/>
        <v>5.1178348079961467E-2</v>
      </c>
      <c r="I21" s="25">
        <v>7183</v>
      </c>
      <c r="J21" s="43">
        <f t="shared" si="0"/>
        <v>0.21911065852002709</v>
      </c>
      <c r="K21" s="25">
        <f t="shared" si="1"/>
        <v>995873</v>
      </c>
      <c r="L21" s="43">
        <f t="shared" si="2"/>
        <v>5.2223793010905961E-2</v>
      </c>
      <c r="M21" s="181"/>
      <c r="N21" s="182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1020330</v>
      </c>
      <c r="H22" s="43">
        <f t="shared" si="0"/>
        <v>3.2001941963608393E-2</v>
      </c>
      <c r="I22" s="25">
        <v>5328</v>
      </c>
      <c r="J22" s="43">
        <f t="shared" si="0"/>
        <v>-0.25824864262842828</v>
      </c>
      <c r="K22" s="25">
        <f t="shared" si="1"/>
        <v>1025658</v>
      </c>
      <c r="L22" s="43">
        <f t="shared" si="2"/>
        <v>2.9908432099273741E-2</v>
      </c>
      <c r="M22" s="181"/>
      <c r="N22" s="182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1096183</v>
      </c>
      <c r="H23" s="43">
        <f t="shared" si="0"/>
        <v>7.4341634569208059E-2</v>
      </c>
      <c r="I23" s="25">
        <v>4415</v>
      </c>
      <c r="J23" s="43">
        <f t="shared" si="0"/>
        <v>-0.17135885885885882</v>
      </c>
      <c r="K23" s="25">
        <f t="shared" si="1"/>
        <v>1100598</v>
      </c>
      <c r="L23" s="43">
        <f t="shared" si="2"/>
        <v>7.3065290769437796E-2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1291813</v>
      </c>
      <c r="H24" s="43">
        <f t="shared" si="0"/>
        <v>0.17846472714866035</v>
      </c>
      <c r="I24" s="25">
        <v>6065</v>
      </c>
      <c r="J24" s="43">
        <f t="shared" si="0"/>
        <v>0.37372593431483581</v>
      </c>
      <c r="K24" s="25">
        <f t="shared" si="1"/>
        <v>1297878</v>
      </c>
      <c r="L24" s="43">
        <f t="shared" si="2"/>
        <v>0.17924800880975611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1322612</v>
      </c>
      <c r="H25" s="43">
        <f t="shared" si="0"/>
        <v>2.3841686064469014E-2</v>
      </c>
      <c r="I25" s="25">
        <v>6237</v>
      </c>
      <c r="J25" s="43">
        <f t="shared" si="0"/>
        <v>2.8359439406430376E-2</v>
      </c>
      <c r="K25" s="25">
        <f t="shared" si="1"/>
        <v>1328849</v>
      </c>
      <c r="L25" s="43">
        <f t="shared" si="2"/>
        <v>2.386279758189902E-2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1265885</v>
      </c>
      <c r="H26" s="43">
        <f t="shared" si="0"/>
        <v>-4.2890129531563348E-2</v>
      </c>
      <c r="I26" s="25">
        <v>7017</v>
      </c>
      <c r="J26" s="43">
        <f t="shared" si="0"/>
        <v>0.12506012506012509</v>
      </c>
      <c r="K26" s="25">
        <f t="shared" si="1"/>
        <v>1272902</v>
      </c>
      <c r="L26" s="43">
        <f t="shared" si="2"/>
        <v>-4.2101849043796546E-2</v>
      </c>
      <c r="M26" s="45">
        <f>+(K26/K16)^(1/10)-1</f>
        <v>6.7156954902261257E-2</v>
      </c>
      <c r="N26" s="33"/>
      <c r="O26" s="32"/>
    </row>
    <row r="27" spans="2:15" ht="15" customHeight="1" x14ac:dyDescent="0.25">
      <c r="B27" s="31"/>
      <c r="C27" s="180" t="s">
        <v>12</v>
      </c>
      <c r="D27" s="180"/>
      <c r="E27" s="33"/>
      <c r="F27" s="166" t="s">
        <v>13</v>
      </c>
      <c r="G27" s="166"/>
      <c r="H27" s="166"/>
      <c r="I27" s="166"/>
      <c r="J27" s="166"/>
      <c r="K27" s="166"/>
      <c r="L27" s="166"/>
      <c r="M27" s="33"/>
      <c r="N27" s="33"/>
      <c r="O27" s="32"/>
    </row>
    <row r="28" spans="2:15" x14ac:dyDescent="0.25">
      <c r="B28" s="31"/>
      <c r="C28" s="180"/>
      <c r="D28" s="180"/>
      <c r="E28" s="33"/>
      <c r="F28" s="44">
        <v>2007</v>
      </c>
      <c r="G28" s="26">
        <f>+G16/K16</f>
        <v>0.98945413723466047</v>
      </c>
      <c r="H28" s="27"/>
      <c r="I28" s="26">
        <f>+I16/K16</f>
        <v>1.0545862765339505E-2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0"/>
      <c r="D29" s="180"/>
      <c r="E29" s="33"/>
      <c r="F29" s="44">
        <v>2012</v>
      </c>
      <c r="G29" s="26">
        <f>+G21/K21</f>
        <v>0.99278723291022053</v>
      </c>
      <c r="H29" s="27"/>
      <c r="I29" s="26">
        <f>+I21/K21</f>
        <v>7.2127670897795199E-3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0"/>
      <c r="D30" s="180"/>
      <c r="E30" s="33"/>
      <c r="F30" s="44">
        <v>2017</v>
      </c>
      <c r="G30" s="26">
        <f>+G26/K26</f>
        <v>0.99448739965841837</v>
      </c>
      <c r="H30" s="27"/>
      <c r="I30" s="26">
        <f>+I26/K26</f>
        <v>5.5126003415816773E-3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67" t="s">
        <v>14</v>
      </c>
      <c r="G31" s="167"/>
      <c r="H31" s="167"/>
      <c r="I31" s="167"/>
      <c r="J31" s="167"/>
      <c r="K31" s="167"/>
      <c r="L31" s="167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103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56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327,195 arribos en esta región (equivalente al 50.0% de este total), Lima Provincias con 90,805 arribos (13.9%)  y Huancavelica con 69,080 arribos (10.6 %). En tanto  Estados Unidos (Usa) es el principal lugar de procedencia de los huespedes del exterior con 1,531  arribos (equivalente al 21.8 % de los arribos del exterior), le sigue Colombia  con  652  arribos (9.3 %) y Espana con 553 (7.9 %) entre las principales.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32"/>
    </row>
    <row r="37" spans="2:15" x14ac:dyDescent="0.25">
      <c r="B37" s="31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32"/>
    </row>
    <row r="38" spans="2:15" x14ac:dyDescent="0.25">
      <c r="B38" s="31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71" t="s">
        <v>29</v>
      </c>
      <c r="E40" s="171"/>
      <c r="F40" s="171"/>
      <c r="G40" s="171"/>
      <c r="H40" s="171"/>
      <c r="I40" s="33"/>
      <c r="J40" s="160" t="s">
        <v>53</v>
      </c>
      <c r="K40" s="160"/>
      <c r="L40" s="160"/>
      <c r="M40" s="160"/>
      <c r="N40" s="33"/>
      <c r="O40" s="32"/>
    </row>
    <row r="41" spans="2:15" x14ac:dyDescent="0.25">
      <c r="B41" s="31"/>
      <c r="C41" s="28"/>
      <c r="D41" s="171"/>
      <c r="E41" s="171"/>
      <c r="F41" s="171"/>
      <c r="G41" s="171"/>
      <c r="H41" s="171"/>
      <c r="I41" s="33"/>
      <c r="J41" s="160"/>
      <c r="K41" s="160"/>
      <c r="L41" s="160"/>
      <c r="M41" s="160"/>
      <c r="N41" s="33"/>
      <c r="O41" s="32"/>
    </row>
    <row r="42" spans="2:15" x14ac:dyDescent="0.25">
      <c r="B42" s="31"/>
      <c r="C42" s="60"/>
      <c r="D42" s="20" t="s">
        <v>5</v>
      </c>
      <c r="E42" s="20" t="s">
        <v>15</v>
      </c>
      <c r="F42" s="20" t="s">
        <v>16</v>
      </c>
      <c r="G42" s="20" t="s">
        <v>17</v>
      </c>
      <c r="H42" s="20" t="s">
        <v>33</v>
      </c>
      <c r="I42" s="100"/>
      <c r="J42" s="20" t="s">
        <v>18</v>
      </c>
      <c r="K42" s="20" t="s">
        <v>15</v>
      </c>
      <c r="L42" s="20" t="s">
        <v>17</v>
      </c>
      <c r="M42" s="20" t="s">
        <v>33</v>
      </c>
      <c r="N42" s="33"/>
      <c r="O42" s="32"/>
    </row>
    <row r="43" spans="2:15" x14ac:dyDescent="0.25">
      <c r="B43" s="31"/>
      <c r="C43" s="28"/>
      <c r="D43" s="22" t="s">
        <v>27</v>
      </c>
      <c r="E43" s="47">
        <v>327195</v>
      </c>
      <c r="F43" s="50">
        <f t="shared" ref="F43:F51" si="3">+E43/E$51</f>
        <v>0.50010164201529372</v>
      </c>
      <c r="G43" s="50">
        <f t="shared" ref="G43:G50" si="4">+E43/E$54</f>
        <v>0.25847134613333755</v>
      </c>
      <c r="H43" s="52">
        <v>1.3216666666666668</v>
      </c>
      <c r="I43" s="33"/>
      <c r="J43" s="22" t="s">
        <v>35</v>
      </c>
      <c r="K43" s="47">
        <v>1531</v>
      </c>
      <c r="L43" s="50">
        <f t="shared" ref="L43:L54" si="5">+K43/K$54</f>
        <v>0.21818440929172012</v>
      </c>
      <c r="M43" s="52">
        <v>1.43</v>
      </c>
      <c r="N43" s="33"/>
      <c r="O43" s="32"/>
    </row>
    <row r="44" spans="2:15" x14ac:dyDescent="0.25">
      <c r="B44" s="31"/>
      <c r="C44" s="28"/>
      <c r="D44" s="22" t="s">
        <v>28</v>
      </c>
      <c r="E44" s="47">
        <v>90805</v>
      </c>
      <c r="F44" s="50">
        <f t="shared" si="3"/>
        <v>0.13879102554500755</v>
      </c>
      <c r="G44" s="50">
        <f t="shared" si="4"/>
        <v>7.1732424351343138E-2</v>
      </c>
      <c r="H44" s="52">
        <v>1.1741666666666666</v>
      </c>
      <c r="I44" s="33"/>
      <c r="J44" s="22" t="s">
        <v>44</v>
      </c>
      <c r="K44" s="47">
        <v>652</v>
      </c>
      <c r="L44" s="50">
        <f t="shared" si="5"/>
        <v>9.2917201083083933E-2</v>
      </c>
      <c r="M44" s="52">
        <v>1.6741666666666666</v>
      </c>
      <c r="N44" s="33"/>
      <c r="O44" s="32"/>
    </row>
    <row r="45" spans="2:15" x14ac:dyDescent="0.25">
      <c r="B45" s="31"/>
      <c r="C45" s="28"/>
      <c r="D45" s="22" t="s">
        <v>116</v>
      </c>
      <c r="E45" s="47">
        <v>69080</v>
      </c>
      <c r="F45" s="50">
        <f t="shared" si="3"/>
        <v>0.10558541979680768</v>
      </c>
      <c r="G45" s="50">
        <f t="shared" si="4"/>
        <v>5.4570517859047228E-2</v>
      </c>
      <c r="H45" s="52">
        <v>1.1549999999999996</v>
      </c>
      <c r="I45" s="33"/>
      <c r="J45" s="22" t="s">
        <v>36</v>
      </c>
      <c r="K45" s="47">
        <v>553</v>
      </c>
      <c r="L45" s="50">
        <f t="shared" si="5"/>
        <v>7.8808607667094202E-2</v>
      </c>
      <c r="M45" s="52">
        <v>1.7283333333333333</v>
      </c>
      <c r="N45" s="33"/>
      <c r="O45" s="32"/>
    </row>
    <row r="46" spans="2:15" x14ac:dyDescent="0.25">
      <c r="B46" s="31"/>
      <c r="C46" s="28"/>
      <c r="D46" s="22" t="s">
        <v>46</v>
      </c>
      <c r="E46" s="47">
        <v>45810</v>
      </c>
      <c r="F46" s="50">
        <f t="shared" si="3"/>
        <v>7.001835670080718E-2</v>
      </c>
      <c r="G46" s="50">
        <f t="shared" si="4"/>
        <v>3.6188121353835458E-2</v>
      </c>
      <c r="H46" s="52">
        <v>1.2050000000000001</v>
      </c>
      <c r="I46" s="33"/>
      <c r="J46" s="22" t="s">
        <v>20</v>
      </c>
      <c r="K46" s="47">
        <v>392</v>
      </c>
      <c r="L46" s="50">
        <f t="shared" si="5"/>
        <v>5.586432948553513E-2</v>
      </c>
      <c r="M46" s="52">
        <v>1.5841666666666665</v>
      </c>
      <c r="N46" s="33"/>
      <c r="O46" s="32"/>
    </row>
    <row r="47" spans="2:15" x14ac:dyDescent="0.25">
      <c r="B47" s="31"/>
      <c r="C47" s="28"/>
      <c r="D47" s="22" t="s">
        <v>115</v>
      </c>
      <c r="E47" s="47">
        <v>27392</v>
      </c>
      <c r="F47" s="50">
        <f t="shared" si="3"/>
        <v>4.1867339592851126E-2</v>
      </c>
      <c r="G47" s="50">
        <f t="shared" si="4"/>
        <v>2.1638616462000892E-2</v>
      </c>
      <c r="H47" s="52">
        <v>1.3008333333333335</v>
      </c>
      <c r="I47" s="33"/>
      <c r="J47" s="22" t="s">
        <v>21</v>
      </c>
      <c r="K47" s="47">
        <v>367</v>
      </c>
      <c r="L47" s="50">
        <f t="shared" si="5"/>
        <v>5.2301553370386202E-2</v>
      </c>
      <c r="M47" s="52">
        <v>1.9616666666666667</v>
      </c>
      <c r="N47" s="33"/>
      <c r="O47" s="32"/>
    </row>
    <row r="48" spans="2:15" x14ac:dyDescent="0.25">
      <c r="B48" s="31"/>
      <c r="C48" s="28"/>
      <c r="D48" s="22" t="s">
        <v>42</v>
      </c>
      <c r="E48" s="47">
        <v>22378</v>
      </c>
      <c r="F48" s="50">
        <f t="shared" si="3"/>
        <v>3.4203684484843115E-2</v>
      </c>
      <c r="G48" s="50">
        <f t="shared" si="4"/>
        <v>1.7677751138531542E-2</v>
      </c>
      <c r="H48" s="52">
        <v>1.2574999999999998</v>
      </c>
      <c r="I48" s="33"/>
      <c r="J48" s="22" t="s">
        <v>41</v>
      </c>
      <c r="K48" s="47">
        <v>338</v>
      </c>
      <c r="L48" s="50">
        <f t="shared" si="5"/>
        <v>4.816873307681345E-2</v>
      </c>
      <c r="M48" s="52">
        <v>1.5025000000000002</v>
      </c>
      <c r="N48" s="33"/>
      <c r="O48" s="32"/>
    </row>
    <row r="49" spans="2:15" x14ac:dyDescent="0.25">
      <c r="B49" s="31"/>
      <c r="C49" s="28"/>
      <c r="D49" s="22" t="s">
        <v>117</v>
      </c>
      <c r="E49" s="47">
        <v>12984</v>
      </c>
      <c r="F49" s="50">
        <f t="shared" si="3"/>
        <v>1.9845412429672131E-2</v>
      </c>
      <c r="G49" s="50">
        <f t="shared" si="4"/>
        <v>1.0256855875533717E-2</v>
      </c>
      <c r="H49" s="52">
        <v>1.2641666666666667</v>
      </c>
      <c r="I49" s="33"/>
      <c r="J49" s="22" t="s">
        <v>22</v>
      </c>
      <c r="K49" s="47">
        <v>310</v>
      </c>
      <c r="L49" s="50">
        <f>+K49/K$54</f>
        <v>4.4178423827846661E-2</v>
      </c>
      <c r="M49" s="52">
        <v>1.7458333333333333</v>
      </c>
      <c r="N49" s="33"/>
      <c r="O49" s="32"/>
    </row>
    <row r="50" spans="2:15" x14ac:dyDescent="0.25">
      <c r="B50" s="31"/>
      <c r="C50" s="28"/>
      <c r="D50" s="22" t="s">
        <v>4</v>
      </c>
      <c r="E50" s="47">
        <f>58592+21</f>
        <v>58613</v>
      </c>
      <c r="F50" s="50">
        <f t="shared" si="3"/>
        <v>8.9587119434717546E-2</v>
      </c>
      <c r="G50" s="50">
        <f t="shared" si="4"/>
        <v>4.6301994256982268E-2</v>
      </c>
      <c r="H50" s="52">
        <v>1.5149509803921566</v>
      </c>
      <c r="I50" s="33"/>
      <c r="J50" s="22" t="s">
        <v>26</v>
      </c>
      <c r="K50" s="47">
        <v>304</v>
      </c>
      <c r="L50" s="50">
        <f>+K50/K$54</f>
        <v>4.3323357560210919E-2</v>
      </c>
      <c r="M50" s="52">
        <v>1.6824999999999999</v>
      </c>
      <c r="N50" s="33"/>
      <c r="O50" s="32"/>
    </row>
    <row r="51" spans="2:15" x14ac:dyDescent="0.25">
      <c r="B51" s="31"/>
      <c r="C51" s="28"/>
      <c r="D51" s="48" t="s">
        <v>30</v>
      </c>
      <c r="E51" s="49">
        <f>SUM(E43:E50)</f>
        <v>654257</v>
      </c>
      <c r="F51" s="51">
        <f t="shared" si="3"/>
        <v>1</v>
      </c>
      <c r="G51" s="50"/>
      <c r="H51" s="28"/>
      <c r="I51" s="33"/>
      <c r="J51" s="22" t="s">
        <v>38</v>
      </c>
      <c r="K51" s="47">
        <v>292</v>
      </c>
      <c r="L51" s="50">
        <f t="shared" si="5"/>
        <v>4.1613225024939436E-2</v>
      </c>
      <c r="M51" s="52">
        <v>2.1941666666666664</v>
      </c>
      <c r="N51" s="33"/>
      <c r="O51" s="32"/>
    </row>
    <row r="52" spans="2:15" x14ac:dyDescent="0.25">
      <c r="B52" s="31"/>
      <c r="C52" s="28"/>
      <c r="D52" s="53" t="s">
        <v>31</v>
      </c>
      <c r="E52" s="39"/>
      <c r="F52" s="22"/>
      <c r="G52" s="50"/>
      <c r="H52" s="28"/>
      <c r="I52" s="33"/>
      <c r="J52" s="22" t="s">
        <v>126</v>
      </c>
      <c r="K52" s="47">
        <v>255</v>
      </c>
      <c r="L52" s="50">
        <f t="shared" si="5"/>
        <v>3.6340316374519024E-2</v>
      </c>
      <c r="M52" s="52">
        <v>1.9225000000000001</v>
      </c>
      <c r="N52" s="33"/>
      <c r="O52" s="32"/>
    </row>
    <row r="53" spans="2:15" x14ac:dyDescent="0.25">
      <c r="B53" s="31"/>
      <c r="C53" s="28"/>
      <c r="D53" s="22" t="s">
        <v>45</v>
      </c>
      <c r="E53" s="47">
        <v>611628</v>
      </c>
      <c r="F53" s="22"/>
      <c r="G53" s="50">
        <f>+E53/E$54</f>
        <v>0.48316237256938821</v>
      </c>
      <c r="H53" s="52">
        <v>1.1225000000000003</v>
      </c>
      <c r="I53" s="33"/>
      <c r="J53" s="22" t="s">
        <v>4</v>
      </c>
      <c r="K53" s="47">
        <f>1999+24</f>
        <v>2023</v>
      </c>
      <c r="L53" s="50">
        <f t="shared" si="5"/>
        <v>0.28829984323785091</v>
      </c>
      <c r="M53" s="52">
        <v>1.8268476469766792</v>
      </c>
      <c r="N53" s="33"/>
      <c r="O53" s="32"/>
    </row>
    <row r="54" spans="2:15" x14ac:dyDescent="0.25">
      <c r="B54" s="31"/>
      <c r="C54" s="28"/>
      <c r="D54" s="48" t="s">
        <v>10</v>
      </c>
      <c r="E54" s="49">
        <f>+E53+E51</f>
        <v>1265885</v>
      </c>
      <c r="F54" s="48"/>
      <c r="G54" s="51">
        <f>+E54/E$54</f>
        <v>1</v>
      </c>
      <c r="H54" s="99">
        <v>1.4222000000000004</v>
      </c>
      <c r="I54" s="33"/>
      <c r="J54" s="48" t="s">
        <v>10</v>
      </c>
      <c r="K54" s="49">
        <f>SUM(K43:K53)</f>
        <v>7017</v>
      </c>
      <c r="L54" s="51">
        <f t="shared" si="5"/>
        <v>1</v>
      </c>
      <c r="M54" s="99">
        <v>1.752999999999999</v>
      </c>
      <c r="N54" s="33"/>
      <c r="O54" s="32"/>
    </row>
    <row r="55" spans="2:15" x14ac:dyDescent="0.25">
      <c r="B55" s="31"/>
      <c r="C55" s="28"/>
      <c r="D55" s="53" t="s">
        <v>32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73" t="s">
        <v>34</v>
      </c>
      <c r="E56" s="173"/>
      <c r="F56" s="173"/>
      <c r="G56" s="173"/>
      <c r="H56" s="173"/>
      <c r="I56" s="173"/>
      <c r="J56" s="173"/>
      <c r="K56" s="173"/>
      <c r="L56" s="173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72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71" t="s">
        <v>67</v>
      </c>
      <c r="F62" s="171"/>
      <c r="G62" s="171"/>
      <c r="H62" s="171"/>
      <c r="I62" s="171"/>
      <c r="J62" s="171"/>
      <c r="K62" s="171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68</v>
      </c>
      <c r="F63" s="20" t="s">
        <v>59</v>
      </c>
      <c r="G63" s="20" t="s">
        <v>62</v>
      </c>
      <c r="H63" s="20" t="s">
        <v>60</v>
      </c>
      <c r="I63" s="20" t="s">
        <v>62</v>
      </c>
      <c r="J63" s="65" t="s">
        <v>61</v>
      </c>
      <c r="K63" s="20" t="s">
        <v>62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66</v>
      </c>
      <c r="F64" s="66">
        <f>SUM(F65:F70)</f>
        <v>57</v>
      </c>
      <c r="G64" s="72">
        <f>+F64/F72</f>
        <v>4.8305084745762714E-2</v>
      </c>
      <c r="H64" s="66">
        <f>SUM(H65:H70)</f>
        <v>1419</v>
      </c>
      <c r="I64" s="72">
        <f>+H64/H72</f>
        <v>0.1131488717008213</v>
      </c>
      <c r="J64" s="66">
        <f>SUM(J65:J70)</f>
        <v>2517</v>
      </c>
      <c r="K64" s="72">
        <f>+J64/J72</f>
        <v>0.12258315881751328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54</v>
      </c>
      <c r="F65" s="47">
        <v>10</v>
      </c>
      <c r="G65" s="68">
        <f t="shared" ref="G65:G70" si="6">+F65/F$64</f>
        <v>0.17543859649122806</v>
      </c>
      <c r="H65" s="47">
        <v>153</v>
      </c>
      <c r="I65" s="68">
        <f t="shared" ref="I65:I70" si="7">+H65/H$64</f>
        <v>0.10782241014799154</v>
      </c>
      <c r="J65" s="47">
        <v>251</v>
      </c>
      <c r="K65" s="68">
        <f t="shared" ref="K65:K70" si="8">+J65/J$64</f>
        <v>9.9721891140246322E-2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55</v>
      </c>
      <c r="F66" s="47">
        <v>33</v>
      </c>
      <c r="G66" s="63">
        <f t="shared" si="6"/>
        <v>0.57894736842105265</v>
      </c>
      <c r="H66" s="47">
        <v>764</v>
      </c>
      <c r="I66" s="63">
        <f t="shared" si="7"/>
        <v>0.53840732910500355</v>
      </c>
      <c r="J66" s="47">
        <v>1356</v>
      </c>
      <c r="K66" s="63">
        <f t="shared" si="8"/>
        <v>0.53873659117997619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56</v>
      </c>
      <c r="F67" s="47">
        <v>14</v>
      </c>
      <c r="G67" s="63">
        <f t="shared" si="6"/>
        <v>0.24561403508771928</v>
      </c>
      <c r="H67" s="47">
        <v>502</v>
      </c>
      <c r="I67" s="63">
        <f t="shared" si="7"/>
        <v>0.35377026074700491</v>
      </c>
      <c r="J67" s="47">
        <v>910</v>
      </c>
      <c r="K67" s="63">
        <f t="shared" si="8"/>
        <v>0.36154151767977749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57</v>
      </c>
      <c r="F68" s="47">
        <v>0</v>
      </c>
      <c r="G68" s="63">
        <f t="shared" si="6"/>
        <v>0</v>
      </c>
      <c r="H68" s="47">
        <v>0</v>
      </c>
      <c r="I68" s="63">
        <f t="shared" si="7"/>
        <v>0</v>
      </c>
      <c r="J68" s="47">
        <v>0</v>
      </c>
      <c r="K68" s="63">
        <f t="shared" si="8"/>
        <v>0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58</v>
      </c>
      <c r="F69" s="47">
        <v>0</v>
      </c>
      <c r="G69" s="63">
        <f t="shared" si="6"/>
        <v>0</v>
      </c>
      <c r="H69" s="47">
        <v>0</v>
      </c>
      <c r="I69" s="63">
        <f t="shared" si="7"/>
        <v>0</v>
      </c>
      <c r="J69" s="47">
        <v>0</v>
      </c>
      <c r="K69" s="63">
        <f t="shared" si="8"/>
        <v>0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69</v>
      </c>
      <c r="F70" s="47">
        <v>0</v>
      </c>
      <c r="G70" s="63">
        <f t="shared" si="6"/>
        <v>0</v>
      </c>
      <c r="H70" s="47">
        <v>0</v>
      </c>
      <c r="I70" s="63">
        <f t="shared" si="7"/>
        <v>0</v>
      </c>
      <c r="J70" s="47">
        <v>0</v>
      </c>
      <c r="K70" s="63">
        <f t="shared" si="8"/>
        <v>0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64</v>
      </c>
      <c r="F71" s="70">
        <v>1123</v>
      </c>
      <c r="G71" s="73">
        <f>+F71/F72</f>
        <v>0.95169491525423733</v>
      </c>
      <c r="H71" s="70">
        <v>11122</v>
      </c>
      <c r="I71" s="73">
        <f>+H71/H72</f>
        <v>0.88685112829917867</v>
      </c>
      <c r="J71" s="70">
        <v>18016</v>
      </c>
      <c r="K71" s="73">
        <f>+J71/J72</f>
        <v>0.87741684118248675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65</v>
      </c>
      <c r="F72" s="66">
        <f>+F71+F64</f>
        <v>1180</v>
      </c>
      <c r="G72" s="67"/>
      <c r="H72" s="66">
        <f>+H71+H64</f>
        <v>12541</v>
      </c>
      <c r="I72" s="67"/>
      <c r="J72" s="66">
        <f>+J71+J64</f>
        <v>20533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79" t="s">
        <v>71</v>
      </c>
      <c r="F73" s="179"/>
      <c r="G73" s="179"/>
      <c r="H73" s="179"/>
      <c r="I73" s="179"/>
      <c r="J73" s="179"/>
      <c r="K73" s="179"/>
      <c r="L73" s="28"/>
      <c r="M73" s="28"/>
      <c r="N73" s="33"/>
      <c r="O73" s="32"/>
    </row>
    <row r="74" spans="2:15" x14ac:dyDescent="0.25">
      <c r="B74" s="31"/>
      <c r="C74" s="28"/>
      <c r="D74" s="28"/>
      <c r="E74" s="179"/>
      <c r="F74" s="179"/>
      <c r="G74" s="179"/>
      <c r="H74" s="179"/>
      <c r="I74" s="179"/>
      <c r="J74" s="179"/>
      <c r="K74" s="179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70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63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</sheetData>
  <mergeCells count="13">
    <mergeCell ref="B1:O2"/>
    <mergeCell ref="C7:N8"/>
    <mergeCell ref="F10:L10"/>
    <mergeCell ref="M18:N22"/>
    <mergeCell ref="C27:D30"/>
    <mergeCell ref="F27:L27"/>
    <mergeCell ref="E73:K74"/>
    <mergeCell ref="F31:L31"/>
    <mergeCell ref="C36:N38"/>
    <mergeCell ref="D40:H41"/>
    <mergeCell ref="J40:M41"/>
    <mergeCell ref="D56:L56"/>
    <mergeCell ref="E62:K6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4" t="s">
        <v>162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15" ht="1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101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56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133,388.0 arribos de turistas nacionales y extranjeros, mientras que el 2017 los  arribos de turistas extranjeros y nacionales sumaron 301,369.0, representando un  crecimiento promedio anual de 8.5%   en el periodo 2006 – 2016.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32"/>
    </row>
    <row r="8" spans="2:15" x14ac:dyDescent="0.25">
      <c r="B8" s="31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65" t="s">
        <v>102</v>
      </c>
      <c r="G10" s="165"/>
      <c r="H10" s="165"/>
      <c r="I10" s="165"/>
      <c r="J10" s="165"/>
      <c r="K10" s="165"/>
      <c r="L10" s="165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6</v>
      </c>
      <c r="G11" s="19" t="s">
        <v>7</v>
      </c>
      <c r="H11" s="18" t="s">
        <v>8</v>
      </c>
      <c r="I11" s="19" t="s">
        <v>9</v>
      </c>
      <c r="J11" s="18" t="s">
        <v>8</v>
      </c>
      <c r="K11" s="18" t="s">
        <v>10</v>
      </c>
      <c r="L11" s="18" t="s">
        <v>8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96494</v>
      </c>
      <c r="H12" s="42"/>
      <c r="I12" s="25">
        <v>1029</v>
      </c>
      <c r="J12" s="42"/>
      <c r="K12" s="25">
        <f>+I12+G12</f>
        <v>97523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107157</v>
      </c>
      <c r="H13" s="43">
        <f>+G13/G12-1</f>
        <v>0.11050428005886381</v>
      </c>
      <c r="I13" s="25">
        <v>870</v>
      </c>
      <c r="J13" s="43">
        <f>+I13/I12-1</f>
        <v>-0.15451895043731778</v>
      </c>
      <c r="K13" s="25">
        <f>+I13+G13</f>
        <v>108027</v>
      </c>
      <c r="L13" s="43">
        <f>+K13/K12-1</f>
        <v>0.1077079253099269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114021</v>
      </c>
      <c r="H14" s="43">
        <f t="shared" ref="H14:J26" si="0">+G14/G13-1</f>
        <v>6.4055544668103703E-2</v>
      </c>
      <c r="I14" s="25">
        <v>1132</v>
      </c>
      <c r="J14" s="43">
        <f t="shared" si="0"/>
        <v>0.30114942528735633</v>
      </c>
      <c r="K14" s="25">
        <f t="shared" ref="K14:K26" si="1">+I14+G14</f>
        <v>115153</v>
      </c>
      <c r="L14" s="43">
        <f t="shared" ref="L14:L26" si="2">+K14/K13-1</f>
        <v>6.5964990233922993E-2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112381</v>
      </c>
      <c r="H15" s="43">
        <f t="shared" si="0"/>
        <v>-1.438331535418913E-2</v>
      </c>
      <c r="I15" s="25">
        <v>1002</v>
      </c>
      <c r="J15" s="43">
        <f t="shared" si="0"/>
        <v>-0.11484098939929333</v>
      </c>
      <c r="K15" s="25">
        <f t="shared" si="1"/>
        <v>113383</v>
      </c>
      <c r="L15" s="43">
        <f t="shared" si="2"/>
        <v>-1.5370854428456093E-2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132476</v>
      </c>
      <c r="H16" s="43">
        <f t="shared" si="0"/>
        <v>0.17881136491043859</v>
      </c>
      <c r="I16" s="25">
        <v>912</v>
      </c>
      <c r="J16" s="43">
        <f t="shared" si="0"/>
        <v>-8.9820359281437168E-2</v>
      </c>
      <c r="K16" s="25">
        <f t="shared" si="1"/>
        <v>133388</v>
      </c>
      <c r="L16" s="43">
        <f t="shared" si="2"/>
        <v>0.17643738479313487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161949</v>
      </c>
      <c r="H17" s="43">
        <f t="shared" si="0"/>
        <v>0.22247803375705799</v>
      </c>
      <c r="I17" s="25">
        <v>1038</v>
      </c>
      <c r="J17" s="43">
        <f t="shared" si="0"/>
        <v>0.13815789473684204</v>
      </c>
      <c r="K17" s="25">
        <f t="shared" si="1"/>
        <v>162987</v>
      </c>
      <c r="L17" s="43">
        <f t="shared" si="2"/>
        <v>0.22190152037664568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157837</v>
      </c>
      <c r="H18" s="43">
        <f t="shared" si="0"/>
        <v>-2.5390709420867075E-2</v>
      </c>
      <c r="I18" s="25">
        <v>1337</v>
      </c>
      <c r="J18" s="43">
        <f t="shared" si="0"/>
        <v>0.28805394990366096</v>
      </c>
      <c r="K18" s="25">
        <f t="shared" si="1"/>
        <v>159174</v>
      </c>
      <c r="L18" s="43">
        <f t="shared" si="2"/>
        <v>-2.3394503856135729E-2</v>
      </c>
      <c r="M18" s="181" t="s">
        <v>11</v>
      </c>
      <c r="N18" s="182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178584</v>
      </c>
      <c r="H19" s="43">
        <f t="shared" si="0"/>
        <v>0.13144573198933074</v>
      </c>
      <c r="I19" s="25">
        <v>1409</v>
      </c>
      <c r="J19" s="43">
        <f t="shared" si="0"/>
        <v>5.3851907255048515E-2</v>
      </c>
      <c r="K19" s="25">
        <f t="shared" si="1"/>
        <v>179993</v>
      </c>
      <c r="L19" s="43">
        <f t="shared" si="2"/>
        <v>0.13079397389020819</v>
      </c>
      <c r="M19" s="181"/>
      <c r="N19" s="182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204617</v>
      </c>
      <c r="H20" s="43">
        <f t="shared" si="0"/>
        <v>0.14577453747256186</v>
      </c>
      <c r="I20" s="25">
        <v>1755</v>
      </c>
      <c r="J20" s="43">
        <f t="shared" si="0"/>
        <v>0.24556422995031935</v>
      </c>
      <c r="K20" s="25">
        <f t="shared" si="1"/>
        <v>206372</v>
      </c>
      <c r="L20" s="43">
        <f t="shared" si="2"/>
        <v>0.14655569938830948</v>
      </c>
      <c r="M20" s="181"/>
      <c r="N20" s="182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223211</v>
      </c>
      <c r="H21" s="43">
        <f t="shared" si="0"/>
        <v>9.0872214918604088E-2</v>
      </c>
      <c r="I21" s="25">
        <v>1542</v>
      </c>
      <c r="J21" s="43">
        <f t="shared" si="0"/>
        <v>-0.12136752136752138</v>
      </c>
      <c r="K21" s="25">
        <f t="shared" si="1"/>
        <v>224753</v>
      </c>
      <c r="L21" s="43">
        <f t="shared" si="2"/>
        <v>8.9067315333475561E-2</v>
      </c>
      <c r="M21" s="181"/>
      <c r="N21" s="182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233512</v>
      </c>
      <c r="H22" s="43">
        <f t="shared" si="0"/>
        <v>4.6149159315625132E-2</v>
      </c>
      <c r="I22" s="25">
        <v>1749</v>
      </c>
      <c r="J22" s="43">
        <f t="shared" si="0"/>
        <v>0.13424124513618674</v>
      </c>
      <c r="K22" s="25">
        <f t="shared" si="1"/>
        <v>235261</v>
      </c>
      <c r="L22" s="43">
        <f t="shared" si="2"/>
        <v>4.6753547227400771E-2</v>
      </c>
      <c r="M22" s="181"/>
      <c r="N22" s="182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270789</v>
      </c>
      <c r="H23" s="43">
        <f t="shared" si="0"/>
        <v>0.15963633560587898</v>
      </c>
      <c r="I23" s="25">
        <v>3107</v>
      </c>
      <c r="J23" s="43">
        <f t="shared" si="0"/>
        <v>0.77644368210405945</v>
      </c>
      <c r="K23" s="25">
        <f t="shared" si="1"/>
        <v>273896</v>
      </c>
      <c r="L23" s="43">
        <f t="shared" si="2"/>
        <v>0.16422186422739005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248404</v>
      </c>
      <c r="H24" s="43">
        <f t="shared" si="0"/>
        <v>-8.2665839454335255E-2</v>
      </c>
      <c r="I24" s="25">
        <v>1986</v>
      </c>
      <c r="J24" s="43">
        <f t="shared" si="0"/>
        <v>-0.36079819761828125</v>
      </c>
      <c r="K24" s="25">
        <f t="shared" si="1"/>
        <v>250390</v>
      </c>
      <c r="L24" s="43">
        <f t="shared" si="2"/>
        <v>-8.582089552238803E-2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263030</v>
      </c>
      <c r="H25" s="43">
        <f t="shared" si="0"/>
        <v>5.8879889212734016E-2</v>
      </c>
      <c r="I25" s="25">
        <v>1998</v>
      </c>
      <c r="J25" s="43">
        <f t="shared" si="0"/>
        <v>6.0422960725075026E-3</v>
      </c>
      <c r="K25" s="25">
        <f t="shared" si="1"/>
        <v>265028</v>
      </c>
      <c r="L25" s="43">
        <f t="shared" si="2"/>
        <v>5.8460801150205688E-2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299602</v>
      </c>
      <c r="H26" s="43">
        <f t="shared" si="0"/>
        <v>0.13904117401056904</v>
      </c>
      <c r="I26" s="25">
        <v>1767</v>
      </c>
      <c r="J26" s="43">
        <f t="shared" si="0"/>
        <v>-0.11561561561561562</v>
      </c>
      <c r="K26" s="25">
        <f t="shared" si="1"/>
        <v>301369</v>
      </c>
      <c r="L26" s="43">
        <f t="shared" si="2"/>
        <v>0.13712136076188175</v>
      </c>
      <c r="M26" s="45">
        <f>+(K26/K16)^(1/10)-1</f>
        <v>8.4921164942955096E-2</v>
      </c>
      <c r="N26" s="33"/>
      <c r="O26" s="32"/>
    </row>
    <row r="27" spans="2:15" ht="15" customHeight="1" x14ac:dyDescent="0.25">
      <c r="B27" s="31"/>
      <c r="C27" s="180" t="s">
        <v>12</v>
      </c>
      <c r="D27" s="180"/>
      <c r="E27" s="33"/>
      <c r="F27" s="166" t="s">
        <v>13</v>
      </c>
      <c r="G27" s="166"/>
      <c r="H27" s="166"/>
      <c r="I27" s="166"/>
      <c r="J27" s="166"/>
      <c r="K27" s="166"/>
      <c r="L27" s="166"/>
      <c r="M27" s="33"/>
      <c r="N27" s="33"/>
      <c r="O27" s="32"/>
    </row>
    <row r="28" spans="2:15" x14ac:dyDescent="0.25">
      <c r="B28" s="31"/>
      <c r="C28" s="180"/>
      <c r="D28" s="180"/>
      <c r="E28" s="33"/>
      <c r="F28" s="44">
        <v>2007</v>
      </c>
      <c r="G28" s="26">
        <f>+G16/K16</f>
        <v>0.99316280325066719</v>
      </c>
      <c r="H28" s="27"/>
      <c r="I28" s="26">
        <f>+I16/K16</f>
        <v>6.8371967493327732E-3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0"/>
      <c r="D29" s="180"/>
      <c r="E29" s="33"/>
      <c r="F29" s="44">
        <v>2012</v>
      </c>
      <c r="G29" s="26">
        <f>+G21/K21</f>
        <v>0.99313913496149109</v>
      </c>
      <c r="H29" s="27"/>
      <c r="I29" s="26">
        <f>+I21/K21</f>
        <v>6.8608650385089407E-3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0"/>
      <c r="D30" s="180"/>
      <c r="E30" s="33"/>
      <c r="F30" s="44">
        <v>2017</v>
      </c>
      <c r="G30" s="26">
        <f>+G26/K26</f>
        <v>0.99413675593707385</v>
      </c>
      <c r="H30" s="27"/>
      <c r="I30" s="26">
        <f>+I26/K26</f>
        <v>5.86324406292618E-3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67" t="s">
        <v>14</v>
      </c>
      <c r="G31" s="167"/>
      <c r="H31" s="167"/>
      <c r="I31" s="167"/>
      <c r="J31" s="167"/>
      <c r="K31" s="167"/>
      <c r="L31" s="167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103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56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66,212 arribos en esta región (equivalente al 36.8% de este total), Junín con 35,181 arribos (19.5%)  y Lima Provincias con 32,385 arribos (18.0 %). En tanto  Espana es el principal lugar de procedencia de los huespedes del exterior con 390  arribos (equivalente al 22.1 % de los arribos del exterior), le sigue Alemania  con  270  arribos (15.3 %) y Estados Unidos (Usa) con 215 (12.2 %) entre las principales.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32"/>
    </row>
    <row r="37" spans="2:15" x14ac:dyDescent="0.25">
      <c r="B37" s="31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32"/>
    </row>
    <row r="38" spans="2:15" x14ac:dyDescent="0.25">
      <c r="B38" s="31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71" t="s">
        <v>29</v>
      </c>
      <c r="E40" s="171"/>
      <c r="F40" s="171"/>
      <c r="G40" s="171"/>
      <c r="H40" s="171"/>
      <c r="I40" s="33"/>
      <c r="J40" s="160" t="s">
        <v>53</v>
      </c>
      <c r="K40" s="160"/>
      <c r="L40" s="160"/>
      <c r="M40" s="160"/>
      <c r="N40" s="33"/>
      <c r="O40" s="32"/>
    </row>
    <row r="41" spans="2:15" x14ac:dyDescent="0.25">
      <c r="B41" s="31"/>
      <c r="C41" s="28"/>
      <c r="D41" s="171"/>
      <c r="E41" s="171"/>
      <c r="F41" s="171"/>
      <c r="G41" s="171"/>
      <c r="H41" s="171"/>
      <c r="I41" s="33"/>
      <c r="J41" s="160"/>
      <c r="K41" s="160"/>
      <c r="L41" s="160"/>
      <c r="M41" s="160"/>
      <c r="N41" s="33"/>
      <c r="O41" s="32"/>
    </row>
    <row r="42" spans="2:15" x14ac:dyDescent="0.25">
      <c r="B42" s="31"/>
      <c r="C42" s="60"/>
      <c r="D42" s="20" t="s">
        <v>5</v>
      </c>
      <c r="E42" s="20" t="s">
        <v>15</v>
      </c>
      <c r="F42" s="20" t="s">
        <v>16</v>
      </c>
      <c r="G42" s="20" t="s">
        <v>17</v>
      </c>
      <c r="H42" s="20" t="s">
        <v>33</v>
      </c>
      <c r="I42" s="100"/>
      <c r="J42" s="20" t="s">
        <v>18</v>
      </c>
      <c r="K42" s="20" t="s">
        <v>15</v>
      </c>
      <c r="L42" s="20" t="s">
        <v>17</v>
      </c>
      <c r="M42" s="20" t="s">
        <v>33</v>
      </c>
      <c r="N42" s="33"/>
      <c r="O42" s="32"/>
    </row>
    <row r="43" spans="2:15" x14ac:dyDescent="0.25">
      <c r="B43" s="31"/>
      <c r="C43" s="28"/>
      <c r="D43" s="22" t="s">
        <v>27</v>
      </c>
      <c r="E43" s="47">
        <v>66212</v>
      </c>
      <c r="F43" s="50">
        <f t="shared" ref="F43:F51" si="3">+E43/E$51</f>
        <v>0.36754224304460775</v>
      </c>
      <c r="G43" s="50">
        <f t="shared" ref="G43:G50" si="4">+E43/E$54</f>
        <v>0.22099985981401993</v>
      </c>
      <c r="H43" s="52">
        <v>1.5533333333333335</v>
      </c>
      <c r="I43" s="33"/>
      <c r="J43" s="22" t="s">
        <v>36</v>
      </c>
      <c r="K43" s="47">
        <v>390</v>
      </c>
      <c r="L43" s="50">
        <f t="shared" ref="L43:L54" si="5">+K43/K$54</f>
        <v>0.22071307300509338</v>
      </c>
      <c r="M43" s="52">
        <v>1.4833333333333334</v>
      </c>
      <c r="N43" s="33"/>
      <c r="O43" s="32"/>
    </row>
    <row r="44" spans="2:15" x14ac:dyDescent="0.25">
      <c r="B44" s="31"/>
      <c r="C44" s="28"/>
      <c r="D44" s="22" t="s">
        <v>45</v>
      </c>
      <c r="E44" s="47">
        <v>35181</v>
      </c>
      <c r="F44" s="50">
        <f t="shared" si="3"/>
        <v>0.19528942869196439</v>
      </c>
      <c r="G44" s="50">
        <f t="shared" si="4"/>
        <v>0.1174257848746003</v>
      </c>
      <c r="H44" s="52">
        <v>1.2591666666666665</v>
      </c>
      <c r="I44" s="33"/>
      <c r="J44" s="22" t="s">
        <v>21</v>
      </c>
      <c r="K44" s="47">
        <v>270</v>
      </c>
      <c r="L44" s="50">
        <f t="shared" si="5"/>
        <v>0.15280135823429541</v>
      </c>
      <c r="M44" s="52">
        <v>1.7975000000000001</v>
      </c>
      <c r="N44" s="33"/>
      <c r="O44" s="32"/>
    </row>
    <row r="45" spans="2:15" x14ac:dyDescent="0.25">
      <c r="B45" s="31"/>
      <c r="C45" s="28"/>
      <c r="D45" s="22" t="s">
        <v>28</v>
      </c>
      <c r="E45" s="47">
        <v>32385</v>
      </c>
      <c r="F45" s="50">
        <f t="shared" si="3"/>
        <v>0.17976885671780979</v>
      </c>
      <c r="G45" s="50">
        <f t="shared" si="4"/>
        <v>0.10809340391586171</v>
      </c>
      <c r="H45" s="52">
        <v>1.2608333333333333</v>
      </c>
      <c r="I45" s="33"/>
      <c r="J45" s="22" t="s">
        <v>35</v>
      </c>
      <c r="K45" s="47">
        <v>215</v>
      </c>
      <c r="L45" s="50">
        <f t="shared" si="5"/>
        <v>0.12167515563101301</v>
      </c>
      <c r="M45" s="52">
        <v>1.4618181818181817</v>
      </c>
      <c r="N45" s="33"/>
      <c r="O45" s="32"/>
    </row>
    <row r="46" spans="2:15" x14ac:dyDescent="0.25">
      <c r="B46" s="31"/>
      <c r="C46" s="28"/>
      <c r="D46" s="22" t="s">
        <v>42</v>
      </c>
      <c r="E46" s="47">
        <v>20890</v>
      </c>
      <c r="F46" s="50">
        <f t="shared" si="3"/>
        <v>0.11596021049359416</v>
      </c>
      <c r="G46" s="50">
        <f t="shared" si="4"/>
        <v>6.972583627612633E-2</v>
      </c>
      <c r="H46" s="52">
        <v>1.4233333333333336</v>
      </c>
      <c r="I46" s="33"/>
      <c r="J46" s="22" t="s">
        <v>20</v>
      </c>
      <c r="K46" s="47">
        <v>89</v>
      </c>
      <c r="L46" s="50">
        <f t="shared" si="5"/>
        <v>5.0367855121675152E-2</v>
      </c>
      <c r="M46" s="52">
        <v>1.560909090909091</v>
      </c>
      <c r="N46" s="33"/>
      <c r="O46" s="32"/>
    </row>
    <row r="47" spans="2:15" x14ac:dyDescent="0.25">
      <c r="B47" s="31"/>
      <c r="C47" s="28"/>
      <c r="D47" s="22" t="s">
        <v>23</v>
      </c>
      <c r="E47" s="47">
        <v>3243</v>
      </c>
      <c r="F47" s="50">
        <f t="shared" si="3"/>
        <v>1.8001865133112773E-2</v>
      </c>
      <c r="G47" s="50">
        <f t="shared" si="4"/>
        <v>1.0824360318021909E-2</v>
      </c>
      <c r="H47" s="52">
        <v>1.3091666666666666</v>
      </c>
      <c r="I47" s="33"/>
      <c r="J47" s="22" t="s">
        <v>38</v>
      </c>
      <c r="K47" s="47">
        <v>89</v>
      </c>
      <c r="L47" s="50">
        <f t="shared" si="5"/>
        <v>5.0367855121675152E-2</v>
      </c>
      <c r="M47" s="52">
        <v>2.8475000000000001</v>
      </c>
      <c r="N47" s="33"/>
      <c r="O47" s="32"/>
    </row>
    <row r="48" spans="2:15" x14ac:dyDescent="0.25">
      <c r="B48" s="31"/>
      <c r="C48" s="28"/>
      <c r="D48" s="22" t="s">
        <v>116</v>
      </c>
      <c r="E48" s="47">
        <v>3140</v>
      </c>
      <c r="F48" s="50">
        <f t="shared" si="3"/>
        <v>1.7430113018185048E-2</v>
      </c>
      <c r="G48" s="50">
        <f t="shared" si="4"/>
        <v>1.0480570890715015E-2</v>
      </c>
      <c r="H48" s="52">
        <v>1.1858333333333333</v>
      </c>
      <c r="I48" s="33"/>
      <c r="J48" s="22" t="s">
        <v>41</v>
      </c>
      <c r="K48" s="47">
        <v>88</v>
      </c>
      <c r="L48" s="50">
        <f t="shared" si="5"/>
        <v>4.9801924165251837E-2</v>
      </c>
      <c r="M48" s="52">
        <v>1.2772727272727276</v>
      </c>
      <c r="N48" s="33"/>
      <c r="O48" s="32"/>
    </row>
    <row r="49" spans="2:15" x14ac:dyDescent="0.25">
      <c r="B49" s="31"/>
      <c r="C49" s="28"/>
      <c r="D49" s="22" t="s">
        <v>117</v>
      </c>
      <c r="E49" s="47">
        <v>3057</v>
      </c>
      <c r="F49" s="50">
        <f t="shared" si="3"/>
        <v>1.6969380731398628E-2</v>
      </c>
      <c r="G49" s="50">
        <f t="shared" si="4"/>
        <v>1.0203536692011402E-2</v>
      </c>
      <c r="H49" s="52">
        <v>1.5083333333333331</v>
      </c>
      <c r="I49" s="33"/>
      <c r="J49" s="22" t="s">
        <v>121</v>
      </c>
      <c r="K49" s="47">
        <v>71</v>
      </c>
      <c r="L49" s="50">
        <f>+K49/K$54</f>
        <v>4.0181097906055459E-2</v>
      </c>
      <c r="M49" s="52">
        <v>1.5800000000000003</v>
      </c>
      <c r="N49" s="33"/>
      <c r="O49" s="32"/>
    </row>
    <row r="50" spans="2:15" x14ac:dyDescent="0.25">
      <c r="B50" s="31"/>
      <c r="C50" s="28"/>
      <c r="D50" s="22" t="s">
        <v>4</v>
      </c>
      <c r="E50" s="47">
        <f>16015+25</f>
        <v>16040</v>
      </c>
      <c r="F50" s="50">
        <f t="shared" si="3"/>
        <v>8.9037902169327443E-2</v>
      </c>
      <c r="G50" s="50">
        <f t="shared" si="4"/>
        <v>5.3537693339830841E-2</v>
      </c>
      <c r="H50" s="52">
        <v>1.3999509803921566</v>
      </c>
      <c r="I50" s="33"/>
      <c r="J50" s="22" t="s">
        <v>44</v>
      </c>
      <c r="K50" s="47">
        <v>65</v>
      </c>
      <c r="L50" s="50">
        <f>+K50/K$54</f>
        <v>3.6785512167515563E-2</v>
      </c>
      <c r="M50" s="52">
        <v>1.2649999999999999</v>
      </c>
      <c r="N50" s="33"/>
      <c r="O50" s="32"/>
    </row>
    <row r="51" spans="2:15" x14ac:dyDescent="0.25">
      <c r="B51" s="31"/>
      <c r="C51" s="28"/>
      <c r="D51" s="48" t="s">
        <v>30</v>
      </c>
      <c r="E51" s="49">
        <f>SUM(E43:E50)</f>
        <v>180148</v>
      </c>
      <c r="F51" s="51">
        <f t="shared" si="3"/>
        <v>1</v>
      </c>
      <c r="G51" s="50"/>
      <c r="H51" s="28"/>
      <c r="I51" s="33"/>
      <c r="J51" s="22" t="s">
        <v>126</v>
      </c>
      <c r="K51" s="47">
        <v>63</v>
      </c>
      <c r="L51" s="50">
        <f t="shared" si="5"/>
        <v>3.5653650254668934E-2</v>
      </c>
      <c r="M51" s="52">
        <v>1.2366666666666668</v>
      </c>
      <c r="N51" s="33"/>
      <c r="O51" s="32"/>
    </row>
    <row r="52" spans="2:15" x14ac:dyDescent="0.25">
      <c r="B52" s="31"/>
      <c r="C52" s="28"/>
      <c r="D52" s="53" t="s">
        <v>31</v>
      </c>
      <c r="E52" s="39"/>
      <c r="F52" s="22"/>
      <c r="G52" s="50"/>
      <c r="H52" s="28"/>
      <c r="I52" s="33"/>
      <c r="J52" s="22" t="s">
        <v>39</v>
      </c>
      <c r="K52" s="47">
        <v>55</v>
      </c>
      <c r="L52" s="50">
        <f t="shared" si="5"/>
        <v>3.1126202603282398E-2</v>
      </c>
      <c r="M52" s="52">
        <v>1.6888888888888889</v>
      </c>
      <c r="N52" s="33"/>
      <c r="O52" s="32"/>
    </row>
    <row r="53" spans="2:15" x14ac:dyDescent="0.25">
      <c r="B53" s="31"/>
      <c r="C53" s="28"/>
      <c r="D53" s="22" t="s">
        <v>46</v>
      </c>
      <c r="E53" s="47">
        <v>119454</v>
      </c>
      <c r="F53" s="22"/>
      <c r="G53" s="50">
        <f>+E53/E$54</f>
        <v>0.39870895387881256</v>
      </c>
      <c r="H53" s="52">
        <v>1.1500000000000001</v>
      </c>
      <c r="I53" s="33"/>
      <c r="J53" s="22" t="s">
        <v>4</v>
      </c>
      <c r="K53" s="47">
        <f>356+16</f>
        <v>372</v>
      </c>
      <c r="L53" s="50">
        <f t="shared" si="5"/>
        <v>0.21052631578947367</v>
      </c>
      <c r="M53" s="52">
        <v>2.1199864024864024</v>
      </c>
      <c r="N53" s="33"/>
      <c r="O53" s="32"/>
    </row>
    <row r="54" spans="2:15" x14ac:dyDescent="0.25">
      <c r="B54" s="31"/>
      <c r="C54" s="28"/>
      <c r="D54" s="48" t="s">
        <v>10</v>
      </c>
      <c r="E54" s="49">
        <f>+E53+E51</f>
        <v>299602</v>
      </c>
      <c r="F54" s="48"/>
      <c r="G54" s="51">
        <f>+E54/E$54</f>
        <v>1</v>
      </c>
      <c r="H54" s="99">
        <v>1.3779461279461278</v>
      </c>
      <c r="I54" s="33"/>
      <c r="J54" s="48" t="s">
        <v>10</v>
      </c>
      <c r="K54" s="49">
        <f>SUM(K43:K53)</f>
        <v>1767</v>
      </c>
      <c r="L54" s="51">
        <f t="shared" si="5"/>
        <v>1</v>
      </c>
      <c r="M54" s="99">
        <v>1.7792660550458712</v>
      </c>
      <c r="N54" s="33"/>
      <c r="O54" s="32"/>
    </row>
    <row r="55" spans="2:15" x14ac:dyDescent="0.25">
      <c r="B55" s="31"/>
      <c r="C55" s="28"/>
      <c r="D55" s="53" t="s">
        <v>32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73" t="s">
        <v>34</v>
      </c>
      <c r="E56" s="173"/>
      <c r="F56" s="173"/>
      <c r="G56" s="173"/>
      <c r="H56" s="173"/>
      <c r="I56" s="173"/>
      <c r="J56" s="173"/>
      <c r="K56" s="173"/>
      <c r="L56" s="173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72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71" t="s">
        <v>67</v>
      </c>
      <c r="F62" s="171"/>
      <c r="G62" s="171"/>
      <c r="H62" s="171"/>
      <c r="I62" s="171"/>
      <c r="J62" s="171"/>
      <c r="K62" s="171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68</v>
      </c>
      <c r="F63" s="20" t="s">
        <v>59</v>
      </c>
      <c r="G63" s="20" t="s">
        <v>62</v>
      </c>
      <c r="H63" s="20" t="s">
        <v>60</v>
      </c>
      <c r="I63" s="20" t="s">
        <v>62</v>
      </c>
      <c r="J63" s="65" t="s">
        <v>61</v>
      </c>
      <c r="K63" s="20" t="s">
        <v>62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66</v>
      </c>
      <c r="F64" s="66">
        <f>SUM(F65:F70)</f>
        <v>19</v>
      </c>
      <c r="G64" s="72">
        <f>+F64/F72</f>
        <v>6.2913907284768214E-2</v>
      </c>
      <c r="H64" s="66">
        <f>SUM(H65:H70)</f>
        <v>347</v>
      </c>
      <c r="I64" s="72">
        <f>+H64/H72</f>
        <v>9.9798677020419904E-2</v>
      </c>
      <c r="J64" s="66">
        <f>SUM(J65:J70)</f>
        <v>602</v>
      </c>
      <c r="K64" s="72">
        <f>+J64/J72</f>
        <v>0.10943464824577349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54</v>
      </c>
      <c r="F65" s="47">
        <v>9</v>
      </c>
      <c r="G65" s="68">
        <f t="shared" ref="G65:G70" si="6">+F65/F$64</f>
        <v>0.47368421052631576</v>
      </c>
      <c r="H65" s="47">
        <v>162</v>
      </c>
      <c r="I65" s="68">
        <f t="shared" ref="I65:I70" si="7">+H65/H$64</f>
        <v>0.4668587896253602</v>
      </c>
      <c r="J65" s="47">
        <v>236</v>
      </c>
      <c r="K65" s="68">
        <f t="shared" ref="K65:K70" si="8">+J65/J$64</f>
        <v>0.39202657807308972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55</v>
      </c>
      <c r="F66" s="47">
        <v>5</v>
      </c>
      <c r="G66" s="63">
        <f t="shared" si="6"/>
        <v>0.26315789473684209</v>
      </c>
      <c r="H66" s="47">
        <v>81</v>
      </c>
      <c r="I66" s="63">
        <f t="shared" si="7"/>
        <v>0.2334293948126801</v>
      </c>
      <c r="J66" s="47">
        <v>161</v>
      </c>
      <c r="K66" s="63">
        <f t="shared" si="8"/>
        <v>0.26744186046511625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56</v>
      </c>
      <c r="F67" s="47">
        <v>4</v>
      </c>
      <c r="G67" s="63">
        <f t="shared" si="6"/>
        <v>0.21052631578947367</v>
      </c>
      <c r="H67" s="47">
        <v>86</v>
      </c>
      <c r="I67" s="63">
        <f t="shared" si="7"/>
        <v>0.2478386167146974</v>
      </c>
      <c r="J67" s="47">
        <v>149</v>
      </c>
      <c r="K67" s="63">
        <f t="shared" si="8"/>
        <v>0.24750830564784054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57</v>
      </c>
      <c r="F68" s="47">
        <v>0</v>
      </c>
      <c r="G68" s="63">
        <f t="shared" si="6"/>
        <v>0</v>
      </c>
      <c r="H68" s="47">
        <v>0</v>
      </c>
      <c r="I68" s="63">
        <f t="shared" si="7"/>
        <v>0</v>
      </c>
      <c r="J68" s="47">
        <v>0</v>
      </c>
      <c r="K68" s="63">
        <f t="shared" si="8"/>
        <v>0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58</v>
      </c>
      <c r="F69" s="47">
        <v>0</v>
      </c>
      <c r="G69" s="63">
        <f t="shared" si="6"/>
        <v>0</v>
      </c>
      <c r="H69" s="47">
        <v>0</v>
      </c>
      <c r="I69" s="63">
        <f t="shared" si="7"/>
        <v>0</v>
      </c>
      <c r="J69" s="47">
        <v>0</v>
      </c>
      <c r="K69" s="63">
        <f t="shared" si="8"/>
        <v>0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69</v>
      </c>
      <c r="F70" s="47">
        <v>1</v>
      </c>
      <c r="G70" s="63">
        <f t="shared" si="6"/>
        <v>5.2631578947368418E-2</v>
      </c>
      <c r="H70" s="47">
        <v>18</v>
      </c>
      <c r="I70" s="63">
        <f t="shared" si="7"/>
        <v>5.1873198847262249E-2</v>
      </c>
      <c r="J70" s="47">
        <v>56</v>
      </c>
      <c r="K70" s="63">
        <f t="shared" si="8"/>
        <v>9.3023255813953487E-2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64</v>
      </c>
      <c r="F71" s="70">
        <v>283</v>
      </c>
      <c r="G71" s="73">
        <f>+F71/F72</f>
        <v>0.9370860927152318</v>
      </c>
      <c r="H71" s="70">
        <v>3130</v>
      </c>
      <c r="I71" s="73">
        <f>+H71/H72</f>
        <v>0.90020132297958011</v>
      </c>
      <c r="J71" s="70">
        <v>4899</v>
      </c>
      <c r="K71" s="73">
        <f>+J71/J72</f>
        <v>0.89056535175422646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65</v>
      </c>
      <c r="F72" s="66">
        <f>+F71+F64</f>
        <v>302</v>
      </c>
      <c r="G72" s="67"/>
      <c r="H72" s="66">
        <f>+H71+H64</f>
        <v>3477</v>
      </c>
      <c r="I72" s="67"/>
      <c r="J72" s="66">
        <f>+J71+J64</f>
        <v>5501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79" t="s">
        <v>71</v>
      </c>
      <c r="F73" s="179"/>
      <c r="G73" s="179"/>
      <c r="H73" s="179"/>
      <c r="I73" s="179"/>
      <c r="J73" s="179"/>
      <c r="K73" s="179"/>
      <c r="L73" s="28"/>
      <c r="M73" s="28"/>
      <c r="N73" s="33"/>
      <c r="O73" s="32"/>
    </row>
    <row r="74" spans="2:15" x14ac:dyDescent="0.25">
      <c r="B74" s="31"/>
      <c r="C74" s="28"/>
      <c r="D74" s="28"/>
      <c r="E74" s="179"/>
      <c r="F74" s="179"/>
      <c r="G74" s="179"/>
      <c r="H74" s="179"/>
      <c r="I74" s="179"/>
      <c r="J74" s="179"/>
      <c r="K74" s="179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70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63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</sheetData>
  <mergeCells count="13">
    <mergeCell ref="B1:O2"/>
    <mergeCell ref="C7:N8"/>
    <mergeCell ref="F10:L10"/>
    <mergeCell ref="M18:N22"/>
    <mergeCell ref="C27:D30"/>
    <mergeCell ref="F27:L27"/>
    <mergeCell ref="E73:K74"/>
    <mergeCell ref="F31:L31"/>
    <mergeCell ref="C36:N38"/>
    <mergeCell ref="D40:H41"/>
    <mergeCell ref="J40:M41"/>
    <mergeCell ref="D56:L56"/>
    <mergeCell ref="E62:K6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55" t="s">
        <v>0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2:15" x14ac:dyDescent="0.25"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</row>
    <row r="10" spans="2:15" x14ac:dyDescent="0.25"/>
    <row r="11" spans="2:15" x14ac:dyDescent="0.25">
      <c r="G11" s="5"/>
    </row>
    <row r="12" spans="2:15" x14ac:dyDescent="0.25">
      <c r="F12" s="5" t="s">
        <v>112</v>
      </c>
      <c r="G12" s="5"/>
      <c r="J12" s="2">
        <v>2</v>
      </c>
    </row>
    <row r="13" spans="2:15" x14ac:dyDescent="0.25">
      <c r="G13" s="5" t="s">
        <v>113</v>
      </c>
      <c r="J13" s="2">
        <v>3</v>
      </c>
    </row>
    <row r="14" spans="2:15" x14ac:dyDescent="0.25">
      <c r="G14" s="5" t="s">
        <v>114</v>
      </c>
      <c r="J14" s="2">
        <v>4</v>
      </c>
    </row>
    <row r="15" spans="2:15" x14ac:dyDescent="0.25">
      <c r="G15" s="5" t="s">
        <v>115</v>
      </c>
      <c r="J15" s="2">
        <v>5</v>
      </c>
    </row>
    <row r="16" spans="2:15" x14ac:dyDescent="0.25">
      <c r="G16" s="5" t="s">
        <v>116</v>
      </c>
      <c r="J16" s="2">
        <v>6</v>
      </c>
    </row>
    <row r="17" spans="7:10" x14ac:dyDescent="0.25">
      <c r="G17" s="98" t="s">
        <v>42</v>
      </c>
      <c r="J17" s="2">
        <v>7</v>
      </c>
    </row>
    <row r="18" spans="7:10" x14ac:dyDescent="0.25">
      <c r="G18" s="5" t="s">
        <v>117</v>
      </c>
      <c r="J18" s="2">
        <v>8</v>
      </c>
    </row>
    <row r="19" spans="7:10" x14ac:dyDescent="0.25">
      <c r="G19" s="5" t="s">
        <v>45</v>
      </c>
      <c r="J19" s="2">
        <v>9</v>
      </c>
    </row>
    <row r="20" spans="7:10" x14ac:dyDescent="0.25">
      <c r="G20" s="98" t="s">
        <v>46</v>
      </c>
      <c r="J20" s="2">
        <v>10</v>
      </c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61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3" customWidth="1"/>
    <col min="17" max="22" width="11.42578125" style="3" customWidth="1"/>
    <col min="23" max="23" width="12.7109375" style="3" customWidth="1"/>
    <col min="24" max="16384" width="11.42578125" style="3" hidden="1"/>
  </cols>
  <sheetData>
    <row r="1" spans="2:23" x14ac:dyDescent="0.25">
      <c r="B1" s="183" t="s">
        <v>154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2:23" x14ac:dyDescent="0.25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2:23" x14ac:dyDescent="0.25">
      <c r="B3" s="7" t="str">
        <f>+B6</f>
        <v>1. Arribo de vivistantes a establecimientos de hospedaje</v>
      </c>
      <c r="C3" s="22"/>
      <c r="D3" s="22"/>
      <c r="E3" s="22"/>
      <c r="F3" s="22"/>
      <c r="G3" s="22"/>
      <c r="H3" s="7"/>
      <c r="I3" s="22"/>
      <c r="J3" s="22" t="str">
        <f>+B84</f>
        <v>3. Establecimientos de Hospedaje Colectivo, según categoría, 2017</v>
      </c>
      <c r="K3" s="22"/>
      <c r="L3" s="23"/>
      <c r="M3" s="8"/>
      <c r="N3" s="24"/>
      <c r="O3" s="24"/>
    </row>
    <row r="4" spans="2:23" x14ac:dyDescent="0.25">
      <c r="B4" s="7" t="str">
        <f>+B51</f>
        <v>2. Arribo de vivistantes a establecimientos de hospedaje</v>
      </c>
      <c r="C4" s="22"/>
      <c r="D4" s="22"/>
      <c r="E4" s="22"/>
      <c r="F4" s="22"/>
      <c r="G4" s="22"/>
      <c r="H4" s="7"/>
      <c r="I4" s="22"/>
      <c r="J4" s="22" t="str">
        <f>+B136</f>
        <v>4. Visitas a los principales centros turísticos en la macro región</v>
      </c>
      <c r="K4" s="22"/>
      <c r="L4" s="23"/>
      <c r="M4" s="8"/>
      <c r="N4" s="24"/>
      <c r="O4" s="24"/>
    </row>
    <row r="5" spans="2:23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23" x14ac:dyDescent="0.25">
      <c r="B6" s="40" t="s">
        <v>99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23" ht="15" customHeight="1" x14ac:dyDescent="0.25">
      <c r="B7" s="31"/>
      <c r="C7" s="156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3,118,098.0 arribos de turistas nacionales y extranjeros, mientras que el 2017 los  arribos de turistas extranjeros y nacionales sumaron 6,180,924.0, representando un  crecimiento promedio anual de 7.1%   en el periodo 2006 – 2016.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32"/>
    </row>
    <row r="8" spans="2:23" ht="15" customHeight="1" x14ac:dyDescent="0.25">
      <c r="B8" s="31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32"/>
    </row>
    <row r="9" spans="2:23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23" x14ac:dyDescent="0.25">
      <c r="B10" s="31"/>
      <c r="C10" s="33"/>
      <c r="D10" s="33"/>
      <c r="E10" s="33"/>
      <c r="F10" s="165" t="s">
        <v>98</v>
      </c>
      <c r="G10" s="165"/>
      <c r="H10" s="165"/>
      <c r="I10" s="165"/>
      <c r="J10" s="165"/>
      <c r="K10" s="165"/>
      <c r="L10" s="165"/>
      <c r="M10" s="33"/>
      <c r="N10" s="33"/>
      <c r="O10" s="32"/>
    </row>
    <row r="11" spans="2:23" ht="15" customHeight="1" x14ac:dyDescent="0.25">
      <c r="B11" s="31"/>
      <c r="C11" s="33"/>
      <c r="D11" s="33"/>
      <c r="E11" s="33"/>
      <c r="F11" s="18" t="s">
        <v>6</v>
      </c>
      <c r="G11" s="19" t="s">
        <v>7</v>
      </c>
      <c r="H11" s="18" t="s">
        <v>8</v>
      </c>
      <c r="I11" s="19" t="s">
        <v>9</v>
      </c>
      <c r="J11" s="18" t="s">
        <v>8</v>
      </c>
      <c r="K11" s="18" t="s">
        <v>10</v>
      </c>
      <c r="L11" s="18" t="s">
        <v>8</v>
      </c>
      <c r="M11" s="33"/>
      <c r="N11" s="33"/>
      <c r="O11" s="32"/>
      <c r="R11" s="83" t="s">
        <v>6</v>
      </c>
      <c r="S11" s="86" t="s">
        <v>7</v>
      </c>
      <c r="T11" s="87" t="s">
        <v>9</v>
      </c>
      <c r="U11" s="12"/>
      <c r="V11" s="12"/>
      <c r="W11" s="13"/>
    </row>
    <row r="12" spans="2:23" x14ac:dyDescent="0.25">
      <c r="B12" s="31"/>
      <c r="C12" s="33"/>
      <c r="D12" s="33"/>
      <c r="E12" s="33"/>
      <c r="F12" s="41">
        <v>2003</v>
      </c>
      <c r="G12" s="25">
        <f>+Áncash!G12+Apurímac!G12+Ayacucho!G12+Huancavelica!G12+Huánuco!G12+Ica!G12+Junín!G12+Pasco!G12</f>
        <v>1907271</v>
      </c>
      <c r="H12" s="42"/>
      <c r="I12" s="25">
        <f>+Áncash!I12+Apurímac!I12+Ayacucho!I12+Huancavelica!I12+Huánuco!I12+Ica!I12+Junín!I12+Pasco!I12</f>
        <v>137234</v>
      </c>
      <c r="J12" s="42"/>
      <c r="K12" s="25">
        <f>+I12+G12</f>
        <v>2044505</v>
      </c>
      <c r="L12" s="42"/>
      <c r="M12" s="33"/>
      <c r="N12" s="33"/>
      <c r="O12" s="32"/>
      <c r="R12" s="83">
        <v>2003</v>
      </c>
      <c r="S12" s="88">
        <f>+G12/1000</f>
        <v>1907.271</v>
      </c>
      <c r="T12" s="88">
        <f>+I12/1000</f>
        <v>137.23400000000001</v>
      </c>
      <c r="V12" s="84"/>
      <c r="W12" s="84"/>
    </row>
    <row r="13" spans="2:23" x14ac:dyDescent="0.25">
      <c r="B13" s="31"/>
      <c r="C13" s="33"/>
      <c r="D13" s="33"/>
      <c r="E13" s="33"/>
      <c r="F13" s="41">
        <v>2004</v>
      </c>
      <c r="G13" s="25">
        <f>+Áncash!G13+Apurímac!G13+Ayacucho!G13+Huancavelica!G13+Huánuco!G13+Ica!G13+Junín!G13+Pasco!G13</f>
        <v>2072606</v>
      </c>
      <c r="H13" s="43">
        <f>+G13/G12-1</f>
        <v>8.6686684797283586E-2</v>
      </c>
      <c r="I13" s="25">
        <f>+Áncash!I13+Apurímac!I13+Ayacucho!I13+Huancavelica!I13+Huánuco!I13+Ica!I13+Junín!I13+Pasco!I13</f>
        <v>155642</v>
      </c>
      <c r="J13" s="43">
        <f>+I13/I12-1</f>
        <v>0.13413585554600171</v>
      </c>
      <c r="K13" s="25">
        <f>+I13+G13</f>
        <v>2228248</v>
      </c>
      <c r="L13" s="43">
        <f>+K13/K12-1</f>
        <v>8.9871631519609974E-2</v>
      </c>
      <c r="M13" s="33"/>
      <c r="N13" s="33"/>
      <c r="O13" s="32"/>
      <c r="R13" s="83">
        <v>2004</v>
      </c>
      <c r="S13" s="88">
        <f t="shared" ref="S13:S26" si="0">+G13/1000</f>
        <v>2072.6060000000002</v>
      </c>
      <c r="T13" s="88">
        <f t="shared" ref="T13:T26" si="1">+I13/1000</f>
        <v>155.642</v>
      </c>
      <c r="U13" s="14"/>
      <c r="V13" s="84"/>
      <c r="W13" s="84"/>
    </row>
    <row r="14" spans="2:23" x14ac:dyDescent="0.25">
      <c r="B14" s="31"/>
      <c r="C14" s="33"/>
      <c r="D14" s="33"/>
      <c r="E14" s="33"/>
      <c r="F14" s="41">
        <v>2005</v>
      </c>
      <c r="G14" s="25">
        <f>+Áncash!G14+Apurímac!G14+Ayacucho!G14+Huancavelica!G14+Huánuco!G14+Ica!G14+Junín!G14+Pasco!G14</f>
        <v>2282798</v>
      </c>
      <c r="H14" s="43">
        <f t="shared" ref="H14:J26" si="2">+G14/G13-1</f>
        <v>0.10141435468198012</v>
      </c>
      <c r="I14" s="25">
        <f>+Áncash!I14+Apurímac!I14+Ayacucho!I14+Huancavelica!I14+Huánuco!I14+Ica!I14+Junín!I14+Pasco!I14</f>
        <v>186663</v>
      </c>
      <c r="J14" s="43">
        <f t="shared" si="2"/>
        <v>0.19930995489649317</v>
      </c>
      <c r="K14" s="25">
        <f t="shared" ref="K14:K26" si="3">+I14+G14</f>
        <v>2469461</v>
      </c>
      <c r="L14" s="43">
        <f t="shared" ref="L14:L26" si="4">+K14/K13-1</f>
        <v>0.10825231302799332</v>
      </c>
      <c r="M14" s="33"/>
      <c r="N14" s="33"/>
      <c r="O14" s="32"/>
      <c r="R14" s="83">
        <v>2005</v>
      </c>
      <c r="S14" s="88">
        <f t="shared" si="0"/>
        <v>2282.7979999999998</v>
      </c>
      <c r="T14" s="88">
        <f t="shared" si="1"/>
        <v>186.66300000000001</v>
      </c>
      <c r="U14" s="14"/>
      <c r="V14" s="84"/>
      <c r="W14" s="84"/>
    </row>
    <row r="15" spans="2:23" ht="14.25" customHeight="1" x14ac:dyDescent="0.25">
      <c r="B15" s="31"/>
      <c r="C15" s="33"/>
      <c r="D15" s="33"/>
      <c r="E15" s="33"/>
      <c r="F15" s="41">
        <v>2006</v>
      </c>
      <c r="G15" s="25">
        <f>+Áncash!G15+Apurímac!G15+Ayacucho!G15+Huancavelica!G15+Huánuco!G15+Ica!G15+Junín!G15+Pasco!G15</f>
        <v>2634909</v>
      </c>
      <c r="H15" s="43">
        <f t="shared" si="2"/>
        <v>0.15424536029907165</v>
      </c>
      <c r="I15" s="25">
        <f>+Áncash!I15+Apurímac!I15+Ayacucho!I15+Huancavelica!I15+Huánuco!I15+Ica!I15+Junín!I15+Pasco!I15</f>
        <v>184604</v>
      </c>
      <c r="J15" s="43">
        <f t="shared" si="2"/>
        <v>-1.1030573814842737E-2</v>
      </c>
      <c r="K15" s="25">
        <f t="shared" si="3"/>
        <v>2819513</v>
      </c>
      <c r="L15" s="43">
        <f t="shared" si="4"/>
        <v>0.14175239050140909</v>
      </c>
      <c r="M15" s="33"/>
      <c r="N15" s="33"/>
      <c r="O15" s="32"/>
      <c r="R15" s="83">
        <v>2006</v>
      </c>
      <c r="S15" s="88">
        <f t="shared" si="0"/>
        <v>2634.9090000000001</v>
      </c>
      <c r="T15" s="88">
        <f t="shared" si="1"/>
        <v>184.60400000000001</v>
      </c>
      <c r="U15" s="14"/>
      <c r="V15" s="84"/>
      <c r="W15" s="84"/>
    </row>
    <row r="16" spans="2:23" x14ac:dyDescent="0.25">
      <c r="B16" s="31"/>
      <c r="C16" s="33"/>
      <c r="D16" s="33"/>
      <c r="E16" s="33"/>
      <c r="F16" s="41">
        <v>2007</v>
      </c>
      <c r="G16" s="25">
        <f>+Áncash!G16+Apurímac!G16+Ayacucho!G16+Huancavelica!G16+Huánuco!G16+Ica!G16+Junín!G16+Pasco!G16</f>
        <v>2916263</v>
      </c>
      <c r="H16" s="43">
        <f t="shared" si="2"/>
        <v>0.10677939921264823</v>
      </c>
      <c r="I16" s="25">
        <f>+Áncash!I16+Apurímac!I16+Ayacucho!I16+Huancavelica!I16+Huánuco!I16+Ica!I16+Junín!I16+Pasco!I16</f>
        <v>201835</v>
      </c>
      <c r="J16" s="43">
        <f t="shared" si="2"/>
        <v>9.3340339320924892E-2</v>
      </c>
      <c r="K16" s="25">
        <f t="shared" si="3"/>
        <v>3118098</v>
      </c>
      <c r="L16" s="43">
        <f t="shared" si="4"/>
        <v>0.10589949399062881</v>
      </c>
      <c r="M16" s="33"/>
      <c r="N16" s="33"/>
      <c r="O16" s="32"/>
      <c r="R16" s="83">
        <v>2007</v>
      </c>
      <c r="S16" s="88">
        <f t="shared" si="0"/>
        <v>2916.2629999999999</v>
      </c>
      <c r="T16" s="88">
        <f t="shared" si="1"/>
        <v>201.83500000000001</v>
      </c>
      <c r="U16" s="14"/>
      <c r="V16" s="84"/>
      <c r="W16" s="84"/>
    </row>
    <row r="17" spans="2:23" x14ac:dyDescent="0.25">
      <c r="B17" s="31"/>
      <c r="C17" s="33"/>
      <c r="D17" s="33"/>
      <c r="E17" s="33"/>
      <c r="F17" s="41">
        <v>2008</v>
      </c>
      <c r="G17" s="25">
        <f>+Áncash!G17+Apurímac!G17+Ayacucho!G17+Huancavelica!G17+Huánuco!G17+Ica!G17+Junín!G17+Pasco!G17</f>
        <v>3329525</v>
      </c>
      <c r="H17" s="43">
        <f t="shared" si="2"/>
        <v>0.14170944115808481</v>
      </c>
      <c r="I17" s="25">
        <f>+Áncash!I17+Apurímac!I17+Ayacucho!I17+Huancavelica!I17+Huánuco!I17+Ica!I17+Junín!I17+Pasco!I17</f>
        <v>204237</v>
      </c>
      <c r="J17" s="43">
        <f t="shared" si="2"/>
        <v>1.1900810067629441E-2</v>
      </c>
      <c r="K17" s="25">
        <f t="shared" si="3"/>
        <v>3533762</v>
      </c>
      <c r="L17" s="43">
        <f t="shared" si="4"/>
        <v>0.13330690696700365</v>
      </c>
      <c r="M17" s="33"/>
      <c r="N17" s="33"/>
      <c r="O17" s="32"/>
      <c r="R17" s="83">
        <v>2008</v>
      </c>
      <c r="S17" s="88">
        <f t="shared" si="0"/>
        <v>3329.5250000000001</v>
      </c>
      <c r="T17" s="88">
        <f t="shared" si="1"/>
        <v>204.23699999999999</v>
      </c>
      <c r="U17" s="14"/>
      <c r="V17" s="84"/>
      <c r="W17" s="84"/>
    </row>
    <row r="18" spans="2:23" ht="15" customHeight="1" x14ac:dyDescent="0.25">
      <c r="B18" s="31"/>
      <c r="C18" s="33"/>
      <c r="D18" s="33"/>
      <c r="E18" s="33"/>
      <c r="F18" s="41">
        <v>2009</v>
      </c>
      <c r="G18" s="25">
        <f>+Áncash!G18+Apurímac!G18+Ayacucho!G18+Huancavelica!G18+Huánuco!G18+Ica!G18+Junín!G18+Pasco!G18</f>
        <v>3546382</v>
      </c>
      <c r="H18" s="43">
        <f t="shared" si="2"/>
        <v>6.5131512753320742E-2</v>
      </c>
      <c r="I18" s="25">
        <f>+Áncash!I18+Apurímac!I18+Ayacucho!I18+Huancavelica!I18+Huánuco!I18+Ica!I18+Junín!I18+Pasco!I18</f>
        <v>209181</v>
      </c>
      <c r="J18" s="43">
        <f t="shared" si="2"/>
        <v>2.4207171080656398E-2</v>
      </c>
      <c r="K18" s="25">
        <f t="shared" si="3"/>
        <v>3755563</v>
      </c>
      <c r="L18" s="43">
        <f t="shared" si="4"/>
        <v>6.2766253075334344E-2</v>
      </c>
      <c r="O18" s="32"/>
      <c r="R18" s="83">
        <v>2009</v>
      </c>
      <c r="S18" s="88">
        <f t="shared" si="0"/>
        <v>3546.3820000000001</v>
      </c>
      <c r="T18" s="88">
        <f t="shared" si="1"/>
        <v>209.18100000000001</v>
      </c>
      <c r="U18" s="14"/>
      <c r="V18" s="84"/>
      <c r="W18" s="84"/>
    </row>
    <row r="19" spans="2:23" x14ac:dyDescent="0.25">
      <c r="B19" s="31"/>
      <c r="C19" s="33"/>
      <c r="D19" s="33"/>
      <c r="E19" s="33"/>
      <c r="F19" s="41">
        <v>2010</v>
      </c>
      <c r="G19" s="25">
        <f>+Áncash!G19+Apurímac!G19+Ayacucho!G19+Huancavelica!G19+Huánuco!G19+Ica!G19+Junín!G19+Pasco!G19</f>
        <v>3819887</v>
      </c>
      <c r="H19" s="43">
        <f t="shared" si="2"/>
        <v>7.7122261504823708E-2</v>
      </c>
      <c r="I19" s="25">
        <f>+Áncash!I19+Apurímac!I19+Ayacucho!I19+Huancavelica!I19+Huánuco!I19+Ica!I19+Junín!I19+Pasco!I19</f>
        <v>224020</v>
      </c>
      <c r="J19" s="43">
        <f t="shared" si="2"/>
        <v>7.0938565166052348E-2</v>
      </c>
      <c r="K19" s="25">
        <f t="shared" si="3"/>
        <v>4043907</v>
      </c>
      <c r="L19" s="43">
        <f t="shared" si="4"/>
        <v>7.6777835972928754E-2</v>
      </c>
      <c r="O19" s="32"/>
      <c r="R19" s="83">
        <v>2010</v>
      </c>
      <c r="S19" s="88">
        <f t="shared" si="0"/>
        <v>3819.8870000000002</v>
      </c>
      <c r="T19" s="88">
        <f t="shared" si="1"/>
        <v>224.02</v>
      </c>
      <c r="U19" s="16"/>
      <c r="V19" s="84"/>
      <c r="W19" s="84"/>
    </row>
    <row r="20" spans="2:23" x14ac:dyDescent="0.25">
      <c r="B20" s="31"/>
      <c r="C20" s="33"/>
      <c r="D20" s="33"/>
      <c r="E20" s="33"/>
      <c r="F20" s="41">
        <v>2011</v>
      </c>
      <c r="G20" s="25">
        <f>+Áncash!G20+Apurímac!G20+Ayacucho!G20+Huancavelica!G20+Huánuco!G20+Ica!G20+Junín!G20+Pasco!G20</f>
        <v>4071783</v>
      </c>
      <c r="H20" s="43">
        <f t="shared" si="2"/>
        <v>6.5943311935667159E-2</v>
      </c>
      <c r="I20" s="25">
        <f>+Áncash!I20+Apurímac!I20+Ayacucho!I20+Huancavelica!I20+Huánuco!I20+Ica!I20+Junín!I20+Pasco!I20</f>
        <v>236877</v>
      </c>
      <c r="J20" s="43">
        <f t="shared" si="2"/>
        <v>5.7392197125256672E-2</v>
      </c>
      <c r="K20" s="25">
        <f t="shared" si="3"/>
        <v>4308660</v>
      </c>
      <c r="L20" s="43">
        <f t="shared" si="4"/>
        <v>6.546960649688538E-2</v>
      </c>
      <c r="O20" s="32"/>
      <c r="R20" s="83">
        <v>2011</v>
      </c>
      <c r="S20" s="88">
        <f t="shared" si="0"/>
        <v>4071.7829999999999</v>
      </c>
      <c r="T20" s="88">
        <f t="shared" si="1"/>
        <v>236.87700000000001</v>
      </c>
      <c r="U20" s="16"/>
      <c r="V20" s="84"/>
      <c r="W20" s="84"/>
    </row>
    <row r="21" spans="2:23" x14ac:dyDescent="0.25">
      <c r="B21" s="31"/>
      <c r="C21" s="33"/>
      <c r="D21" s="33"/>
      <c r="E21" s="33"/>
      <c r="F21" s="41">
        <v>2012</v>
      </c>
      <c r="G21" s="25">
        <f>+Áncash!G21+Apurímac!G21+Ayacucho!G21+Huancavelica!G21+Huánuco!G21+Ica!G21+Junín!G21+Pasco!G21</f>
        <v>4364153</v>
      </c>
      <c r="H21" s="43">
        <f t="shared" si="2"/>
        <v>7.1803924717992018E-2</v>
      </c>
      <c r="I21" s="25">
        <f>+Áncash!I21+Apurímac!I21+Ayacucho!I21+Huancavelica!I21+Huánuco!I21+Ica!I21+Junín!I21+Pasco!I21</f>
        <v>257975</v>
      </c>
      <c r="J21" s="43">
        <f t="shared" si="2"/>
        <v>8.9067321859023885E-2</v>
      </c>
      <c r="K21" s="25">
        <f t="shared" si="3"/>
        <v>4622128</v>
      </c>
      <c r="L21" s="43">
        <f t="shared" si="4"/>
        <v>7.2753013697994362E-2</v>
      </c>
      <c r="M21" s="58"/>
      <c r="N21" s="59"/>
      <c r="O21" s="32"/>
      <c r="R21" s="83">
        <v>2012</v>
      </c>
      <c r="S21" s="88">
        <f t="shared" si="0"/>
        <v>4364.1530000000002</v>
      </c>
      <c r="T21" s="88">
        <f t="shared" si="1"/>
        <v>257.97500000000002</v>
      </c>
      <c r="U21" s="16"/>
      <c r="V21" s="84"/>
      <c r="W21" s="84"/>
    </row>
    <row r="22" spans="2:23" ht="15" customHeight="1" x14ac:dyDescent="0.25">
      <c r="B22" s="31"/>
      <c r="C22" s="33"/>
      <c r="D22" s="33"/>
      <c r="E22" s="33"/>
      <c r="F22" s="41">
        <v>2013</v>
      </c>
      <c r="G22" s="25">
        <f>+Áncash!G22+Apurímac!G22+Ayacucho!G22+Huancavelica!G22+Huánuco!G22+Ica!G22+Junín!G22+Pasco!G22</f>
        <v>4581634</v>
      </c>
      <c r="H22" s="43">
        <f t="shared" si="2"/>
        <v>4.9833495755075452E-2</v>
      </c>
      <c r="I22" s="25">
        <f>+Áncash!I22+Apurímac!I22+Ayacucho!I22+Huancavelica!I22+Huánuco!I22+Ica!I22+Junín!I22+Pasco!I22</f>
        <v>269886</v>
      </c>
      <c r="J22" s="43">
        <f t="shared" si="2"/>
        <v>4.617114061440053E-2</v>
      </c>
      <c r="K22" s="25">
        <f t="shared" si="3"/>
        <v>4851520</v>
      </c>
      <c r="L22" s="43">
        <f t="shared" si="4"/>
        <v>4.962908859295978E-2</v>
      </c>
      <c r="M22" s="58"/>
      <c r="N22" s="59"/>
      <c r="O22" s="32"/>
      <c r="R22" s="83">
        <v>2013</v>
      </c>
      <c r="S22" s="88">
        <f t="shared" si="0"/>
        <v>4581.634</v>
      </c>
      <c r="T22" s="88">
        <f t="shared" si="1"/>
        <v>269.88600000000002</v>
      </c>
      <c r="U22" s="16"/>
      <c r="V22" s="84"/>
      <c r="W22" s="84"/>
    </row>
    <row r="23" spans="2:23" x14ac:dyDescent="0.25">
      <c r="B23" s="31"/>
      <c r="C23" s="33"/>
      <c r="D23" s="33"/>
      <c r="E23" s="33"/>
      <c r="F23" s="41">
        <v>2014</v>
      </c>
      <c r="G23" s="25">
        <f>+Áncash!G23+Apurímac!G23+Ayacucho!G23+Huancavelica!G23+Huánuco!G23+Ica!G23+Junín!G23+Pasco!G23</f>
        <v>5285093</v>
      </c>
      <c r="H23" s="43">
        <f t="shared" si="2"/>
        <v>0.15353889027364476</v>
      </c>
      <c r="I23" s="25">
        <f>+Áncash!I23+Apurímac!I23+Ayacucho!I23+Huancavelica!I23+Huánuco!I23+Ica!I23+Junín!I23+Pasco!I23</f>
        <v>243999</v>
      </c>
      <c r="J23" s="43">
        <f t="shared" si="2"/>
        <v>-9.5918276605677977E-2</v>
      </c>
      <c r="K23" s="25">
        <f t="shared" si="3"/>
        <v>5529092</v>
      </c>
      <c r="L23" s="43">
        <f t="shared" si="4"/>
        <v>0.13966179671525625</v>
      </c>
      <c r="M23" s="158" t="s">
        <v>11</v>
      </c>
      <c r="N23" s="159"/>
      <c r="O23" s="32"/>
      <c r="R23" s="83">
        <v>2014</v>
      </c>
      <c r="S23" s="88">
        <f t="shared" si="0"/>
        <v>5285.0929999999998</v>
      </c>
      <c r="T23" s="88">
        <f t="shared" si="1"/>
        <v>243.999</v>
      </c>
      <c r="U23" s="16"/>
      <c r="V23" s="84"/>
      <c r="W23" s="84"/>
    </row>
    <row r="24" spans="2:23" ht="15" customHeight="1" x14ac:dyDescent="0.25">
      <c r="B24" s="31"/>
      <c r="C24" s="33"/>
      <c r="D24" s="33"/>
      <c r="E24" s="33"/>
      <c r="F24" s="41">
        <v>2015</v>
      </c>
      <c r="G24" s="25">
        <f>+Áncash!G24+Apurímac!G24+Ayacucho!G24+Huancavelica!G24+Huánuco!G24+Ica!G24+Junín!G24+Pasco!G24</f>
        <v>5524994</v>
      </c>
      <c r="H24" s="43">
        <f t="shared" si="2"/>
        <v>4.5392011077193928E-2</v>
      </c>
      <c r="I24" s="25">
        <f>+Áncash!I24+Apurímac!I24+Ayacucho!I24+Huancavelica!I24+Huánuco!I24+Ica!I24+Junín!I24+Pasco!I24</f>
        <v>305130</v>
      </c>
      <c r="J24" s="43">
        <f t="shared" si="2"/>
        <v>0.25053791204062303</v>
      </c>
      <c r="K24" s="25">
        <f t="shared" si="3"/>
        <v>5830124</v>
      </c>
      <c r="L24" s="43">
        <f t="shared" si="4"/>
        <v>5.4445105995704068E-2</v>
      </c>
      <c r="M24" s="158"/>
      <c r="N24" s="159"/>
      <c r="O24" s="32"/>
      <c r="R24" s="83">
        <v>2015</v>
      </c>
      <c r="S24" s="88">
        <f t="shared" si="0"/>
        <v>5524.9939999999997</v>
      </c>
      <c r="T24" s="88">
        <f t="shared" si="1"/>
        <v>305.13</v>
      </c>
      <c r="U24" s="16"/>
      <c r="V24" s="84"/>
      <c r="W24" s="84"/>
    </row>
    <row r="25" spans="2:23" x14ac:dyDescent="0.25">
      <c r="B25" s="31"/>
      <c r="C25" s="33"/>
      <c r="D25" s="33"/>
      <c r="E25" s="33"/>
      <c r="F25" s="41">
        <v>2016</v>
      </c>
      <c r="G25" s="25">
        <f>+Áncash!G25+Apurímac!G25+Ayacucho!G25+Huancavelica!G25+Huánuco!G25+Ica!G25+Junín!G25+Pasco!G25</f>
        <v>5749387</v>
      </c>
      <c r="H25" s="43">
        <f t="shared" si="2"/>
        <v>4.0614161752935862E-2</v>
      </c>
      <c r="I25" s="25">
        <f>+Áncash!I25+Apurímac!I25+Ayacucho!I25+Huancavelica!I25+Huánuco!I25+Ica!I25+Junín!I25+Pasco!I25</f>
        <v>289947</v>
      </c>
      <c r="J25" s="43">
        <f t="shared" si="2"/>
        <v>-4.9759119064005541E-2</v>
      </c>
      <c r="K25" s="25">
        <f t="shared" si="3"/>
        <v>6039334</v>
      </c>
      <c r="L25" s="43">
        <f t="shared" si="4"/>
        <v>3.5884313952842195E-2</v>
      </c>
      <c r="M25" s="158"/>
      <c r="N25" s="159"/>
      <c r="O25" s="32"/>
      <c r="R25" s="83">
        <v>2016</v>
      </c>
      <c r="S25" s="88">
        <f t="shared" si="0"/>
        <v>5749.3869999999997</v>
      </c>
      <c r="T25" s="88">
        <f t="shared" si="1"/>
        <v>289.947</v>
      </c>
      <c r="U25" s="16"/>
      <c r="V25" s="84"/>
      <c r="W25" s="84"/>
    </row>
    <row r="26" spans="2:23" x14ac:dyDescent="0.25">
      <c r="B26" s="31"/>
      <c r="C26" s="157" t="s">
        <v>12</v>
      </c>
      <c r="D26" s="157"/>
      <c r="E26" s="33"/>
      <c r="F26" s="41">
        <v>2017</v>
      </c>
      <c r="G26" s="25">
        <f>+Áncash!G26+Apurímac!G26+Ayacucho!G26+Huancavelica!G26+Huánuco!G26+Ica!G26+Junín!G26+Pasco!G26</f>
        <v>5857528</v>
      </c>
      <c r="H26" s="43">
        <f t="shared" si="2"/>
        <v>1.8809135652200881E-2</v>
      </c>
      <c r="I26" s="25">
        <f>+Áncash!I26+Apurímac!I26+Ayacucho!I26+Huancavelica!I26+Huánuco!I26+Ica!I26+Junín!I26+Pasco!I26</f>
        <v>323396</v>
      </c>
      <c r="J26" s="43">
        <f t="shared" si="2"/>
        <v>0.11536246279492457</v>
      </c>
      <c r="K26" s="25">
        <f t="shared" si="3"/>
        <v>6180924</v>
      </c>
      <c r="L26" s="43">
        <f t="shared" si="4"/>
        <v>2.3444638100823756E-2</v>
      </c>
      <c r="M26" s="45">
        <f>+(K26/K16)^(1/10)-1</f>
        <v>7.081972942227388E-2</v>
      </c>
      <c r="N26" s="33"/>
      <c r="O26" s="32"/>
      <c r="R26" s="83">
        <v>2017</v>
      </c>
      <c r="S26" s="88">
        <f t="shared" si="0"/>
        <v>5857.5280000000002</v>
      </c>
      <c r="T26" s="88">
        <f t="shared" si="1"/>
        <v>323.39600000000002</v>
      </c>
      <c r="U26" s="16"/>
      <c r="V26" s="84"/>
      <c r="W26" s="85"/>
    </row>
    <row r="27" spans="2:23" ht="15" customHeight="1" x14ac:dyDescent="0.25">
      <c r="B27" s="31"/>
      <c r="C27" s="157"/>
      <c r="D27" s="157"/>
      <c r="E27" s="33"/>
      <c r="F27" s="166" t="s">
        <v>13</v>
      </c>
      <c r="G27" s="166"/>
      <c r="H27" s="166"/>
      <c r="I27" s="166"/>
      <c r="J27" s="166"/>
      <c r="K27" s="166"/>
      <c r="L27" s="166"/>
      <c r="M27" s="33"/>
      <c r="N27" s="33"/>
      <c r="O27" s="32"/>
      <c r="S27" s="15"/>
      <c r="T27" s="16"/>
    </row>
    <row r="28" spans="2:23" x14ac:dyDescent="0.25">
      <c r="B28" s="31"/>
      <c r="C28" s="157"/>
      <c r="D28" s="157"/>
      <c r="E28" s="33"/>
      <c r="F28" s="44">
        <v>2007</v>
      </c>
      <c r="G28" s="26">
        <f>+G16/K16</f>
        <v>0.9352698343669763</v>
      </c>
      <c r="H28" s="27"/>
      <c r="I28" s="26">
        <f>+I16/K16</f>
        <v>6.4730165633023723E-2</v>
      </c>
      <c r="J28" s="27"/>
      <c r="K28" s="26">
        <f>+I28+G28</f>
        <v>1</v>
      </c>
      <c r="L28" s="27"/>
      <c r="M28" s="33"/>
      <c r="N28" s="33"/>
      <c r="O28" s="32"/>
    </row>
    <row r="29" spans="2:23" x14ac:dyDescent="0.25">
      <c r="B29" s="31"/>
      <c r="C29" s="157"/>
      <c r="D29" s="157"/>
      <c r="E29" s="33"/>
      <c r="F29" s="44">
        <v>2012</v>
      </c>
      <c r="G29" s="26">
        <f>+G21/K21</f>
        <v>0.94418696323425055</v>
      </c>
      <c r="H29" s="27"/>
      <c r="I29" s="26">
        <f>+I21/K21</f>
        <v>5.5813036765749453E-2</v>
      </c>
      <c r="J29" s="27"/>
      <c r="K29" s="26">
        <f>+I29+G29</f>
        <v>1</v>
      </c>
      <c r="L29" s="27"/>
      <c r="M29" s="33"/>
      <c r="N29" s="33"/>
      <c r="O29" s="32"/>
      <c r="Q29" s="83">
        <v>2003</v>
      </c>
      <c r="R29" s="89">
        <f>+I12/K12</f>
        <v>6.7123337922871312E-2</v>
      </c>
      <c r="S29" s="90">
        <f>+I12/1000</f>
        <v>137.23400000000001</v>
      </c>
      <c r="U29" s="83"/>
    </row>
    <row r="30" spans="2:23" x14ac:dyDescent="0.25">
      <c r="B30" s="31"/>
      <c r="C30" s="157"/>
      <c r="D30" s="157"/>
      <c r="E30" s="33"/>
      <c r="F30" s="44">
        <v>2017</v>
      </c>
      <c r="G30" s="26">
        <f>+G26/K26</f>
        <v>0.94767837300701319</v>
      </c>
      <c r="H30" s="27"/>
      <c r="I30" s="26">
        <f>+I26/K26</f>
        <v>5.2321626992986807E-2</v>
      </c>
      <c r="J30" s="27"/>
      <c r="K30" s="26">
        <f>+I30+G30</f>
        <v>1</v>
      </c>
      <c r="L30" s="27"/>
      <c r="M30" s="33"/>
      <c r="N30" s="33"/>
      <c r="O30" s="32"/>
      <c r="Q30" s="83">
        <v>2004</v>
      </c>
      <c r="R30" s="89">
        <v>0.13413585554600171</v>
      </c>
      <c r="S30" s="90">
        <f t="shared" ref="S30:S43" si="5">+I13/1000</f>
        <v>155.642</v>
      </c>
      <c r="U30" s="83"/>
    </row>
    <row r="31" spans="2:23" x14ac:dyDescent="0.25">
      <c r="B31" s="31"/>
      <c r="C31" s="33"/>
      <c r="D31" s="33"/>
      <c r="E31" s="33"/>
      <c r="F31" s="167" t="s">
        <v>14</v>
      </c>
      <c r="G31" s="167"/>
      <c r="H31" s="167"/>
      <c r="I31" s="167"/>
      <c r="J31" s="167"/>
      <c r="K31" s="167"/>
      <c r="L31" s="167"/>
      <c r="M31" s="33"/>
      <c r="N31" s="33"/>
      <c r="O31" s="32"/>
      <c r="Q31" s="83">
        <v>2005</v>
      </c>
      <c r="R31" s="89">
        <v>0.19930995489649317</v>
      </c>
      <c r="S31" s="90">
        <f t="shared" si="5"/>
        <v>186.66300000000001</v>
      </c>
      <c r="U31" s="83"/>
    </row>
    <row r="32" spans="2:23" x14ac:dyDescent="0.25">
      <c r="B32" s="31"/>
      <c r="C32" s="33"/>
      <c r="D32" s="33"/>
      <c r="E32" s="33"/>
      <c r="F32" s="54"/>
      <c r="G32" s="54"/>
      <c r="H32" s="54"/>
      <c r="I32" s="54"/>
      <c r="J32" s="54"/>
      <c r="K32" s="54"/>
      <c r="L32" s="54"/>
      <c r="M32" s="33"/>
      <c r="N32" s="33"/>
      <c r="O32" s="32"/>
      <c r="Q32" s="83">
        <v>2006</v>
      </c>
      <c r="R32" s="89">
        <v>-1.1030573814842737E-2</v>
      </c>
      <c r="S32" s="90">
        <f t="shared" si="5"/>
        <v>184.60400000000001</v>
      </c>
      <c r="U32" s="83"/>
    </row>
    <row r="33" spans="2:22" x14ac:dyDescent="0.25">
      <c r="B33" s="31"/>
      <c r="C33" s="33"/>
      <c r="D33" s="33"/>
      <c r="E33" s="33"/>
      <c r="F33" s="116"/>
      <c r="G33" s="116"/>
      <c r="H33" s="116"/>
      <c r="I33" s="116"/>
      <c r="J33" s="116"/>
      <c r="K33" s="116"/>
      <c r="L33" s="116"/>
      <c r="M33" s="33"/>
      <c r="N33" s="33"/>
      <c r="O33" s="32"/>
      <c r="Q33" s="83">
        <v>2007</v>
      </c>
      <c r="R33" s="89">
        <v>9.3340339320924892E-2</v>
      </c>
      <c r="S33" s="90">
        <f t="shared" si="5"/>
        <v>201.83500000000001</v>
      </c>
      <c r="U33" s="83"/>
    </row>
    <row r="34" spans="2:22" ht="15" customHeight="1" x14ac:dyDescent="0.25">
      <c r="B34" s="31"/>
      <c r="C34" s="160" t="s">
        <v>130</v>
      </c>
      <c r="D34" s="160"/>
      <c r="E34" s="160"/>
      <c r="F34" s="160"/>
      <c r="G34" s="160"/>
      <c r="H34" s="160"/>
      <c r="I34" s="91"/>
      <c r="J34" s="161" t="s">
        <v>131</v>
      </c>
      <c r="K34" s="161"/>
      <c r="L34" s="161"/>
      <c r="M34" s="161"/>
      <c r="N34" s="161"/>
      <c r="O34" s="32"/>
      <c r="Q34" s="83">
        <v>2008</v>
      </c>
      <c r="R34" s="89">
        <v>1.1900810067629441E-2</v>
      </c>
      <c r="S34" s="90">
        <f t="shared" si="5"/>
        <v>204.23699999999999</v>
      </c>
      <c r="U34" s="83"/>
    </row>
    <row r="35" spans="2:22" x14ac:dyDescent="0.25">
      <c r="B35" s="31"/>
      <c r="C35" s="164" t="s">
        <v>51</v>
      </c>
      <c r="D35" s="164"/>
      <c r="E35" s="164"/>
      <c r="F35" s="164"/>
      <c r="G35" s="164"/>
      <c r="H35" s="164"/>
      <c r="I35" s="91"/>
      <c r="J35" s="162" t="s">
        <v>47</v>
      </c>
      <c r="K35" s="162"/>
      <c r="L35" s="162"/>
      <c r="M35" s="162"/>
      <c r="N35" s="162"/>
      <c r="O35" s="32"/>
      <c r="Q35" s="83">
        <v>2009</v>
      </c>
      <c r="R35" s="89">
        <v>2.4207171080656398E-2</v>
      </c>
      <c r="S35" s="90">
        <f t="shared" si="5"/>
        <v>209.18100000000001</v>
      </c>
      <c r="U35" s="83"/>
    </row>
    <row r="36" spans="2:22" x14ac:dyDescent="0.25">
      <c r="B36" s="31"/>
      <c r="C36" s="55" t="s">
        <v>5</v>
      </c>
      <c r="D36" s="56" t="s">
        <v>7</v>
      </c>
      <c r="E36" s="57" t="s">
        <v>9</v>
      </c>
      <c r="F36" s="57" t="s">
        <v>10</v>
      </c>
      <c r="G36" s="57" t="s">
        <v>48</v>
      </c>
      <c r="H36" s="57" t="s">
        <v>149</v>
      </c>
      <c r="I36" s="91"/>
      <c r="J36" s="57" t="s">
        <v>5</v>
      </c>
      <c r="K36" s="56">
        <v>2016</v>
      </c>
      <c r="L36" s="57">
        <v>2017</v>
      </c>
      <c r="M36" s="57" t="s">
        <v>49</v>
      </c>
      <c r="N36" s="57" t="s">
        <v>8</v>
      </c>
      <c r="O36" s="141"/>
      <c r="Q36" s="83">
        <v>2010</v>
      </c>
      <c r="R36" s="89">
        <v>7.0938565166052348E-2</v>
      </c>
      <c r="S36" s="90">
        <f t="shared" si="5"/>
        <v>224.02</v>
      </c>
      <c r="U36" s="83">
        <v>2016</v>
      </c>
      <c r="V36" s="83">
        <v>2017</v>
      </c>
    </row>
    <row r="37" spans="2:22" x14ac:dyDescent="0.25">
      <c r="B37" s="31"/>
      <c r="C37" s="108" t="s">
        <v>117</v>
      </c>
      <c r="D37" s="117">
        <f>+Ica!G26</f>
        <v>1229259</v>
      </c>
      <c r="E37" s="117">
        <f>+Ica!I26</f>
        <v>248582</v>
      </c>
      <c r="F37" s="117">
        <f t="shared" ref="F37:F44" si="6">+E37+D37</f>
        <v>1477841</v>
      </c>
      <c r="G37" s="118">
        <f t="shared" ref="G37:G45" si="7">+F37/F$45</f>
        <v>0.23909709939808352</v>
      </c>
      <c r="H37" s="118">
        <f>+N37</f>
        <v>2.8330133662508583E-2</v>
      </c>
      <c r="I37" s="92"/>
      <c r="J37" s="108" t="s">
        <v>117</v>
      </c>
      <c r="K37" s="117">
        <f>+Ica!K25</f>
        <v>1437127</v>
      </c>
      <c r="L37" s="117">
        <f t="shared" ref="L37:L44" si="8">+F37</f>
        <v>1477841</v>
      </c>
      <c r="M37" s="117">
        <f t="shared" ref="M37:M44" si="9">+L37-K37</f>
        <v>40714</v>
      </c>
      <c r="N37" s="118">
        <f t="shared" ref="N37:N45" si="10">+L37/K37-1</f>
        <v>2.8330133662508583E-2</v>
      </c>
      <c r="O37" s="142"/>
      <c r="Q37" s="83">
        <v>2011</v>
      </c>
      <c r="R37" s="89">
        <v>5.7392197125256672E-2</v>
      </c>
      <c r="S37" s="90">
        <f t="shared" si="5"/>
        <v>236.87700000000001</v>
      </c>
      <c r="U37" s="143">
        <f>+K37/1000</f>
        <v>1437.127</v>
      </c>
      <c r="V37" s="143">
        <f>+L37/1000</f>
        <v>1477.8409999999999</v>
      </c>
    </row>
    <row r="38" spans="2:22" x14ac:dyDescent="0.25">
      <c r="B38" s="31"/>
      <c r="C38" s="108" t="s">
        <v>45</v>
      </c>
      <c r="D38" s="117">
        <f>+Junín!G26</f>
        <v>1265885</v>
      </c>
      <c r="E38" s="117">
        <f>+Junín!I26</f>
        <v>7017</v>
      </c>
      <c r="F38" s="117">
        <f t="shared" si="6"/>
        <v>1272902</v>
      </c>
      <c r="G38" s="118">
        <f t="shared" si="7"/>
        <v>0.20594040632112609</v>
      </c>
      <c r="H38" s="118">
        <f t="shared" ref="H38:H45" si="11">+N38</f>
        <v>-4.2101849043796546E-2</v>
      </c>
      <c r="I38" s="92"/>
      <c r="J38" s="108" t="s">
        <v>45</v>
      </c>
      <c r="K38" s="117">
        <f>+Junín!K25</f>
        <v>1328849</v>
      </c>
      <c r="L38" s="117">
        <f t="shared" si="8"/>
        <v>1272902</v>
      </c>
      <c r="M38" s="117">
        <f t="shared" si="9"/>
        <v>-55947</v>
      </c>
      <c r="N38" s="118">
        <f t="shared" si="10"/>
        <v>-4.2101849043796546E-2</v>
      </c>
      <c r="O38" s="142"/>
      <c r="Q38" s="83">
        <v>2012</v>
      </c>
      <c r="R38" s="89">
        <v>8.9067321859023885E-2</v>
      </c>
      <c r="S38" s="90">
        <f t="shared" si="5"/>
        <v>257.97500000000002</v>
      </c>
      <c r="U38" s="143">
        <f t="shared" ref="U38:V44" si="12">+K38/1000</f>
        <v>1328.8489999999999</v>
      </c>
      <c r="V38" s="143">
        <f t="shared" si="12"/>
        <v>1272.902</v>
      </c>
    </row>
    <row r="39" spans="2:22" x14ac:dyDescent="0.25">
      <c r="B39" s="31"/>
      <c r="C39" s="108" t="s">
        <v>113</v>
      </c>
      <c r="D39" s="117">
        <f>+Áncash!G26</f>
        <v>1087796</v>
      </c>
      <c r="E39" s="117">
        <f>+Áncash!I26</f>
        <v>44713</v>
      </c>
      <c r="F39" s="117">
        <f t="shared" si="6"/>
        <v>1132509</v>
      </c>
      <c r="G39" s="118">
        <f t="shared" si="7"/>
        <v>0.18322648846677292</v>
      </c>
      <c r="H39" s="118">
        <f t="shared" si="11"/>
        <v>0.11018430383419808</v>
      </c>
      <c r="I39" s="91"/>
      <c r="J39" s="108" t="s">
        <v>113</v>
      </c>
      <c r="K39" s="117">
        <f>+Áncash!K25</f>
        <v>1020109</v>
      </c>
      <c r="L39" s="117">
        <f t="shared" si="8"/>
        <v>1132509</v>
      </c>
      <c r="M39" s="117">
        <f t="shared" si="9"/>
        <v>112400</v>
      </c>
      <c r="N39" s="118">
        <f t="shared" si="10"/>
        <v>0.11018430383419808</v>
      </c>
      <c r="O39" s="142"/>
      <c r="Q39" s="83">
        <v>2013</v>
      </c>
      <c r="R39" s="89">
        <v>4.617114061440053E-2</v>
      </c>
      <c r="S39" s="90">
        <f t="shared" si="5"/>
        <v>269.88600000000002</v>
      </c>
      <c r="U39" s="143">
        <f t="shared" si="12"/>
        <v>1020.109</v>
      </c>
      <c r="V39" s="143">
        <f t="shared" si="12"/>
        <v>1132.509</v>
      </c>
    </row>
    <row r="40" spans="2:22" x14ac:dyDescent="0.25">
      <c r="B40" s="31"/>
      <c r="C40" s="108" t="s">
        <v>42</v>
      </c>
      <c r="D40" s="117">
        <f>+Huánuco!G26</f>
        <v>797753</v>
      </c>
      <c r="E40" s="117">
        <f>+Huánuco!I26</f>
        <v>4319</v>
      </c>
      <c r="F40" s="117">
        <f t="shared" si="6"/>
        <v>802072</v>
      </c>
      <c r="G40" s="118">
        <f t="shared" si="7"/>
        <v>0.12976571140496146</v>
      </c>
      <c r="H40" s="118">
        <f t="shared" si="11"/>
        <v>1.6410643728092644E-2</v>
      </c>
      <c r="I40" s="92"/>
      <c r="J40" s="108" t="s">
        <v>42</v>
      </c>
      <c r="K40" s="117">
        <f>+Huánuco!K25</f>
        <v>789122</v>
      </c>
      <c r="L40" s="117">
        <f t="shared" si="8"/>
        <v>802072</v>
      </c>
      <c r="M40" s="117">
        <f t="shared" si="9"/>
        <v>12950</v>
      </c>
      <c r="N40" s="118">
        <f t="shared" si="10"/>
        <v>1.6410643728092644E-2</v>
      </c>
      <c r="O40" s="142"/>
      <c r="Q40" s="83">
        <v>2014</v>
      </c>
      <c r="R40" s="89">
        <v>-9.5918276605677977E-2</v>
      </c>
      <c r="S40" s="90">
        <f t="shared" si="5"/>
        <v>243.999</v>
      </c>
      <c r="U40" s="143">
        <f t="shared" si="12"/>
        <v>789.12199999999996</v>
      </c>
      <c r="V40" s="143">
        <f t="shared" si="12"/>
        <v>802.072</v>
      </c>
    </row>
    <row r="41" spans="2:22" x14ac:dyDescent="0.25">
      <c r="B41" s="31"/>
      <c r="C41" s="108" t="s">
        <v>114</v>
      </c>
      <c r="D41" s="117">
        <f>+Apurímac!G26</f>
        <v>532271</v>
      </c>
      <c r="E41" s="117">
        <f>+Apurímac!I26</f>
        <v>6548</v>
      </c>
      <c r="F41" s="117">
        <f t="shared" si="6"/>
        <v>538819</v>
      </c>
      <c r="G41" s="118">
        <f t="shared" si="7"/>
        <v>8.7174506594806855E-2</v>
      </c>
      <c r="H41" s="118">
        <f t="shared" si="11"/>
        <v>0.10483007787670129</v>
      </c>
      <c r="I41" s="92"/>
      <c r="J41" s="108" t="s">
        <v>114</v>
      </c>
      <c r="K41" s="117">
        <f>+Apurímac!K25</f>
        <v>487694</v>
      </c>
      <c r="L41" s="117">
        <f t="shared" si="8"/>
        <v>538819</v>
      </c>
      <c r="M41" s="117">
        <f t="shared" si="9"/>
        <v>51125</v>
      </c>
      <c r="N41" s="118">
        <f t="shared" si="10"/>
        <v>0.10483007787670129</v>
      </c>
      <c r="O41" s="142"/>
      <c r="Q41" s="83">
        <v>2015</v>
      </c>
      <c r="R41" s="89">
        <v>0.25053791204062303</v>
      </c>
      <c r="S41" s="90">
        <f t="shared" si="5"/>
        <v>305.13</v>
      </c>
      <c r="U41" s="143">
        <f t="shared" si="12"/>
        <v>487.69400000000002</v>
      </c>
      <c r="V41" s="143">
        <f t="shared" si="12"/>
        <v>538.81899999999996</v>
      </c>
    </row>
    <row r="42" spans="2:22" x14ac:dyDescent="0.25">
      <c r="B42" s="31"/>
      <c r="C42" s="108" t="s">
        <v>115</v>
      </c>
      <c r="D42" s="117">
        <f>+Ayacucho!G26</f>
        <v>430441</v>
      </c>
      <c r="E42" s="117">
        <f>+Ayacucho!I26</f>
        <v>9104</v>
      </c>
      <c r="F42" s="117">
        <f t="shared" si="6"/>
        <v>439545</v>
      </c>
      <c r="G42" s="118">
        <f t="shared" si="7"/>
        <v>7.1113153955622163E-2</v>
      </c>
      <c r="H42" s="118">
        <f t="shared" si="11"/>
        <v>-0.10066599146794342</v>
      </c>
      <c r="I42" s="92"/>
      <c r="J42" s="108" t="s">
        <v>115</v>
      </c>
      <c r="K42" s="117">
        <f>+Ayacucho!K25</f>
        <v>488745</v>
      </c>
      <c r="L42" s="117">
        <f t="shared" si="8"/>
        <v>439545</v>
      </c>
      <c r="M42" s="117">
        <f t="shared" si="9"/>
        <v>-49200</v>
      </c>
      <c r="N42" s="118">
        <f t="shared" si="10"/>
        <v>-0.10066599146794342</v>
      </c>
      <c r="O42" s="142"/>
      <c r="Q42" s="83">
        <v>2016</v>
      </c>
      <c r="R42" s="89">
        <v>-4.9759119064005541E-2</v>
      </c>
      <c r="S42" s="90">
        <f t="shared" si="5"/>
        <v>289.947</v>
      </c>
      <c r="U42" s="143">
        <f t="shared" si="12"/>
        <v>488.745</v>
      </c>
      <c r="V42" s="143">
        <f t="shared" si="12"/>
        <v>439.54500000000002</v>
      </c>
    </row>
    <row r="43" spans="2:22" x14ac:dyDescent="0.25">
      <c r="B43" s="31"/>
      <c r="C43" s="108" t="s">
        <v>46</v>
      </c>
      <c r="D43" s="117">
        <f>+Pasco!G26</f>
        <v>299602</v>
      </c>
      <c r="E43" s="117">
        <f>+Pasco!I26</f>
        <v>1767</v>
      </c>
      <c r="F43" s="117">
        <f t="shared" si="6"/>
        <v>301369</v>
      </c>
      <c r="G43" s="118">
        <f t="shared" si="7"/>
        <v>4.8757920336829901E-2</v>
      </c>
      <c r="H43" s="118">
        <f t="shared" si="11"/>
        <v>0.13712136076188175</v>
      </c>
      <c r="I43" s="92"/>
      <c r="J43" s="108" t="s">
        <v>46</v>
      </c>
      <c r="K43" s="117">
        <f>+Pasco!K25</f>
        <v>265028</v>
      </c>
      <c r="L43" s="117">
        <f t="shared" si="8"/>
        <v>301369</v>
      </c>
      <c r="M43" s="117">
        <f t="shared" si="9"/>
        <v>36341</v>
      </c>
      <c r="N43" s="118">
        <f t="shared" si="10"/>
        <v>0.13712136076188175</v>
      </c>
      <c r="O43" s="142"/>
      <c r="Q43" s="83">
        <v>2017</v>
      </c>
      <c r="R43" s="89">
        <v>0.11536246279492457</v>
      </c>
      <c r="S43" s="90">
        <f t="shared" si="5"/>
        <v>323.39600000000002</v>
      </c>
      <c r="U43" s="143">
        <f t="shared" si="12"/>
        <v>265.02800000000002</v>
      </c>
      <c r="V43" s="143">
        <f t="shared" si="12"/>
        <v>301.36900000000003</v>
      </c>
    </row>
    <row r="44" spans="2:22" x14ac:dyDescent="0.25">
      <c r="B44" s="31"/>
      <c r="C44" s="108" t="s">
        <v>116</v>
      </c>
      <c r="D44" s="117">
        <f>+Huancavelica!G26</f>
        <v>214521</v>
      </c>
      <c r="E44" s="117">
        <f>+Huancavelica!I26</f>
        <v>1346</v>
      </c>
      <c r="F44" s="117">
        <f t="shared" si="6"/>
        <v>215867</v>
      </c>
      <c r="G44" s="118">
        <f t="shared" si="7"/>
        <v>3.4924713521797067E-2</v>
      </c>
      <c r="H44" s="118">
        <f t="shared" si="11"/>
        <v>-3.0508398455043606E-2</v>
      </c>
      <c r="I44" s="92"/>
      <c r="J44" s="108" t="s">
        <v>116</v>
      </c>
      <c r="K44" s="117">
        <f>+Huancavelica!K25</f>
        <v>222660</v>
      </c>
      <c r="L44" s="117">
        <f t="shared" si="8"/>
        <v>215867</v>
      </c>
      <c r="M44" s="117">
        <f t="shared" si="9"/>
        <v>-6793</v>
      </c>
      <c r="N44" s="118">
        <f t="shared" si="10"/>
        <v>-3.0508398455043606E-2</v>
      </c>
      <c r="O44" s="142"/>
      <c r="Q44" s="83"/>
      <c r="R44" s="83"/>
      <c r="U44" s="143">
        <f t="shared" si="12"/>
        <v>222.66</v>
      </c>
      <c r="V44" s="143">
        <f t="shared" si="12"/>
        <v>215.86699999999999</v>
      </c>
    </row>
    <row r="45" spans="2:22" x14ac:dyDescent="0.25">
      <c r="B45" s="31"/>
      <c r="C45" s="110" t="s">
        <v>10</v>
      </c>
      <c r="D45" s="119">
        <f>SUM(D37:D44)</f>
        <v>5857528</v>
      </c>
      <c r="E45" s="119">
        <f>SUM(E37:E44)</f>
        <v>323396</v>
      </c>
      <c r="F45" s="119">
        <f>SUM(F37:F44)</f>
        <v>6180924</v>
      </c>
      <c r="G45" s="120">
        <f t="shared" si="7"/>
        <v>1</v>
      </c>
      <c r="H45" s="120">
        <f t="shared" si="11"/>
        <v>2.3444638100823756E-2</v>
      </c>
      <c r="I45" s="92"/>
      <c r="J45" s="110" t="s">
        <v>10</v>
      </c>
      <c r="K45" s="119">
        <f>SUM(K37:K44)</f>
        <v>6039334</v>
      </c>
      <c r="L45" s="119">
        <f>SUM(L37:L44)</f>
        <v>6180924</v>
      </c>
      <c r="M45" s="119">
        <f t="shared" ref="M45" si="13">+L45-K45</f>
        <v>141590</v>
      </c>
      <c r="N45" s="120">
        <f t="shared" si="10"/>
        <v>2.3444638100823756E-2</v>
      </c>
      <c r="O45" s="141"/>
    </row>
    <row r="46" spans="2:22" x14ac:dyDescent="0.25">
      <c r="B46" s="31"/>
      <c r="C46" s="163" t="s">
        <v>148</v>
      </c>
      <c r="D46" s="163"/>
      <c r="E46" s="163"/>
      <c r="F46" s="163"/>
      <c r="G46" s="163"/>
      <c r="H46" s="163"/>
      <c r="I46" s="92"/>
      <c r="J46" s="163" t="s">
        <v>50</v>
      </c>
      <c r="K46" s="163"/>
      <c r="L46" s="163"/>
      <c r="M46" s="163"/>
      <c r="N46" s="163"/>
      <c r="O46" s="141"/>
    </row>
    <row r="47" spans="2:22" x14ac:dyDescent="0.25">
      <c r="B47" s="31"/>
      <c r="C47" s="33"/>
      <c r="D47" s="33"/>
      <c r="E47" s="33"/>
      <c r="F47" s="54"/>
      <c r="G47" s="54"/>
      <c r="H47" s="54"/>
      <c r="I47" s="54"/>
      <c r="J47" s="54"/>
      <c r="K47" s="54"/>
      <c r="L47" s="54"/>
      <c r="M47" s="33"/>
      <c r="N47" s="33"/>
      <c r="O47" s="32"/>
    </row>
    <row r="48" spans="2:22" ht="15" customHeight="1" x14ac:dyDescent="0.25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</row>
    <row r="49" spans="2:15" x14ac:dyDescent="0.25">
      <c r="B49" s="3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2:15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2:15" x14ac:dyDescent="0.25">
      <c r="B51" s="40" t="s">
        <v>100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0"/>
    </row>
    <row r="52" spans="2:15" x14ac:dyDescent="0.25">
      <c r="B52" s="31"/>
      <c r="C52" s="156" t="str">
        <f>+CONCATENATE("Sin considerar a los residentes de esta macro región, entre las principales regiones de procedencia de los huespedes nacionales figuran ",D59," con ",FIXED(E59,0)," arribos en esta región (equivalente al ",FIXED(F59*100,1),"% de este total), ",D60," con ",FIXED(E60,0)," arribos (",FIXED(F60*100,1),"%)  y ",D61," con ",FIXED(E61,0)," arribos (",FIXED(F61*100,1)," %). En tanto  ",J59," es el principal lugar de procedencia de los huespedes del exterior con ",FIXED(K59,0),"  arribos (equivalente al ",FIXED(L59*100,1)," % de los arribos del exterior), le sigue ",J60,"  con  ",FIXED(K60,0),"  arribos (",FIXED(L60*100,1)," %) y ",J61," con ",FIXED(K61,0)," (",FIXED(L61*100,1)," %) entre las principales.")</f>
        <v>Sin considerar a los residentes de esta macro región, entre las principales regiones de procedencia de los huespedes nacionales figuran Lima Metropolitana Y Callao con 1,554,282 arribos en esta región (equivalente al 60.8% de este total), Lima Provincias con 432,383 arribos (16.9%)  y Cusco con 110,014 arribos (4.3 %). En tanto  Estados Unidos (Usa) es el principal lugar de procedencia de los huespedes del exterior con 36,179  arribos (equivalente al 11.2 % de los arribos del exterior), le sigue Francia  con  27,623  arribos (8.5 %) y Alemania con 24,670 (7.6 %) entre las principales.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32"/>
    </row>
    <row r="53" spans="2:15" x14ac:dyDescent="0.25">
      <c r="B53" s="31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32"/>
    </row>
    <row r="54" spans="2:15" x14ac:dyDescent="0.25">
      <c r="B54" s="31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32"/>
    </row>
    <row r="55" spans="2:15" x14ac:dyDescent="0.25">
      <c r="B55" s="31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32"/>
    </row>
    <row r="56" spans="2:15" ht="15" customHeight="1" x14ac:dyDescent="0.25">
      <c r="B56" s="31"/>
      <c r="C56" s="28"/>
      <c r="D56" s="171" t="s">
        <v>29</v>
      </c>
      <c r="E56" s="171"/>
      <c r="F56" s="171"/>
      <c r="G56" s="171"/>
      <c r="H56" s="171"/>
      <c r="I56" s="121"/>
      <c r="J56" s="160" t="s">
        <v>52</v>
      </c>
      <c r="K56" s="160"/>
      <c r="L56" s="160"/>
      <c r="M56" s="160"/>
      <c r="N56" s="33"/>
      <c r="O56" s="32"/>
    </row>
    <row r="57" spans="2:15" x14ac:dyDescent="0.25">
      <c r="B57" s="31"/>
      <c r="C57" s="28"/>
      <c r="D57" s="171"/>
      <c r="E57" s="171"/>
      <c r="F57" s="171"/>
      <c r="G57" s="171"/>
      <c r="H57" s="171"/>
      <c r="I57" s="121"/>
      <c r="J57" s="160"/>
      <c r="K57" s="160"/>
      <c r="L57" s="160"/>
      <c r="M57" s="160"/>
      <c r="N57" s="33"/>
      <c r="O57" s="32"/>
    </row>
    <row r="58" spans="2:15" x14ac:dyDescent="0.25">
      <c r="B58" s="31"/>
      <c r="C58" s="60"/>
      <c r="D58" s="20" t="s">
        <v>5</v>
      </c>
      <c r="E58" s="20" t="s">
        <v>15</v>
      </c>
      <c r="F58" s="20" t="s">
        <v>16</v>
      </c>
      <c r="G58" s="20" t="s">
        <v>17</v>
      </c>
      <c r="H58" s="20" t="s">
        <v>33</v>
      </c>
      <c r="I58" s="123"/>
      <c r="J58" s="20" t="s">
        <v>18</v>
      </c>
      <c r="K58" s="20" t="s">
        <v>15</v>
      </c>
      <c r="L58" s="20" t="s">
        <v>17</v>
      </c>
      <c r="M58" s="20" t="s">
        <v>33</v>
      </c>
      <c r="N58" s="33"/>
      <c r="O58" s="32"/>
    </row>
    <row r="59" spans="2:15" x14ac:dyDescent="0.25">
      <c r="B59" s="31"/>
      <c r="C59" s="28"/>
      <c r="D59" s="22" t="s">
        <v>27</v>
      </c>
      <c r="E59" s="47">
        <v>1554282</v>
      </c>
      <c r="F59" s="50">
        <f t="shared" ref="F59:F67" si="14">+E59/E$67</f>
        <v>0.60776650359529938</v>
      </c>
      <c r="G59" s="50">
        <f t="shared" ref="G59:G66" si="15">+E59/E$78</f>
        <v>0.26534777127825937</v>
      </c>
      <c r="H59" s="52">
        <v>1.4198958333333334</v>
      </c>
      <c r="I59" s="33"/>
      <c r="J59" s="22" t="s">
        <v>35</v>
      </c>
      <c r="K59" s="47">
        <v>36179</v>
      </c>
      <c r="L59" s="50">
        <f t="shared" ref="L59:L78" si="16">+K59/K$78</f>
        <v>0.11187213199915892</v>
      </c>
      <c r="M59" s="52">
        <v>1.4932978723404247</v>
      </c>
      <c r="N59" s="33"/>
      <c r="O59" s="32"/>
    </row>
    <row r="60" spans="2:15" x14ac:dyDescent="0.25">
      <c r="B60" s="31"/>
      <c r="C60" s="28"/>
      <c r="D60" s="22" t="s">
        <v>28</v>
      </c>
      <c r="E60" s="47">
        <v>432383</v>
      </c>
      <c r="F60" s="50">
        <f t="shared" si="14"/>
        <v>0.16907350411575656</v>
      </c>
      <c r="G60" s="50">
        <f t="shared" si="15"/>
        <v>7.3816633911096968E-2</v>
      </c>
      <c r="H60" s="52">
        <v>1.2901041666666668</v>
      </c>
      <c r="I60" s="33"/>
      <c r="J60" s="22" t="s">
        <v>20</v>
      </c>
      <c r="K60" s="47">
        <v>27623</v>
      </c>
      <c r="L60" s="50">
        <f t="shared" si="16"/>
        <v>8.5415404024786951E-2</v>
      </c>
      <c r="M60" s="52">
        <v>1.3761702127659572</v>
      </c>
      <c r="N60" s="33"/>
      <c r="O60" s="32"/>
    </row>
    <row r="61" spans="2:15" x14ac:dyDescent="0.25">
      <c r="B61" s="31"/>
      <c r="C61" s="28"/>
      <c r="D61" s="22" t="s">
        <v>123</v>
      </c>
      <c r="E61" s="47">
        <v>110014</v>
      </c>
      <c r="F61" s="50">
        <f t="shared" si="14"/>
        <v>4.3018463912297293E-2</v>
      </c>
      <c r="G61" s="50">
        <f t="shared" si="15"/>
        <v>1.8781643041228313E-2</v>
      </c>
      <c r="H61" s="52">
        <v>1.3592708333333332</v>
      </c>
      <c r="I61" s="33"/>
      <c r="J61" s="22" t="s">
        <v>21</v>
      </c>
      <c r="K61" s="47">
        <v>24670</v>
      </c>
      <c r="L61" s="50">
        <f t="shared" si="16"/>
        <v>7.628418409627824E-2</v>
      </c>
      <c r="M61" s="52">
        <v>1.5883333333333332</v>
      </c>
      <c r="N61" s="33"/>
      <c r="O61" s="32"/>
    </row>
    <row r="62" spans="2:15" x14ac:dyDescent="0.25">
      <c r="B62" s="31"/>
      <c r="C62" s="28"/>
      <c r="D62" s="22" t="s">
        <v>23</v>
      </c>
      <c r="E62" s="47">
        <v>108961</v>
      </c>
      <c r="F62" s="50">
        <f t="shared" si="14"/>
        <v>4.260671229432459E-2</v>
      </c>
      <c r="G62" s="50">
        <f t="shared" si="15"/>
        <v>1.8601874374309435E-2</v>
      </c>
      <c r="H62" s="52">
        <v>1.5753125000000001</v>
      </c>
      <c r="I62" s="33"/>
      <c r="J62" s="22" t="s">
        <v>36</v>
      </c>
      <c r="K62" s="47">
        <v>20311</v>
      </c>
      <c r="L62" s="50">
        <f t="shared" si="16"/>
        <v>6.2805353189278781E-2</v>
      </c>
      <c r="M62" s="52">
        <v>1.6711458333333342</v>
      </c>
      <c r="N62" s="33"/>
      <c r="O62" s="32"/>
    </row>
    <row r="63" spans="2:15" x14ac:dyDescent="0.25">
      <c r="B63" s="31"/>
      <c r="C63" s="28"/>
      <c r="D63" s="22" t="s">
        <v>125</v>
      </c>
      <c r="E63" s="47">
        <v>59742</v>
      </c>
      <c r="F63" s="50">
        <f t="shared" si="14"/>
        <v>2.3360745641904348E-2</v>
      </c>
      <c r="G63" s="50">
        <f t="shared" si="15"/>
        <v>1.0199183000064191E-2</v>
      </c>
      <c r="H63" s="52">
        <v>1.4411458333333336</v>
      </c>
      <c r="I63" s="33"/>
      <c r="J63" s="22" t="s">
        <v>22</v>
      </c>
      <c r="K63" s="47">
        <v>15293</v>
      </c>
      <c r="L63" s="50">
        <f t="shared" si="16"/>
        <v>4.7288772897623968E-2</v>
      </c>
      <c r="M63" s="52">
        <v>1.7859550561797752</v>
      </c>
      <c r="N63" s="33"/>
      <c r="O63" s="32"/>
    </row>
    <row r="64" spans="2:15" x14ac:dyDescent="0.25">
      <c r="B64" s="31"/>
      <c r="C64" s="28"/>
      <c r="D64" s="22" t="s">
        <v>24</v>
      </c>
      <c r="E64" s="47">
        <v>46430</v>
      </c>
      <c r="F64" s="50">
        <f t="shared" si="14"/>
        <v>1.8155391854200044E-2</v>
      </c>
      <c r="G64" s="50">
        <f t="shared" si="15"/>
        <v>7.9265519516082544E-3</v>
      </c>
      <c r="H64" s="52">
        <v>1.6120833333333329</v>
      </c>
      <c r="I64" s="33"/>
      <c r="J64" s="22" t="s">
        <v>120</v>
      </c>
      <c r="K64" s="47">
        <v>15237</v>
      </c>
      <c r="L64" s="50">
        <f t="shared" si="16"/>
        <v>4.7115610582691189E-2</v>
      </c>
      <c r="M64" s="52">
        <v>1.2308860759493669</v>
      </c>
      <c r="N64" s="33"/>
      <c r="O64" s="32"/>
    </row>
    <row r="65" spans="2:15" x14ac:dyDescent="0.25">
      <c r="B65" s="31"/>
      <c r="C65" s="28"/>
      <c r="D65" s="22" t="s">
        <v>3</v>
      </c>
      <c r="E65" s="47">
        <v>45424</v>
      </c>
      <c r="F65" s="50">
        <f t="shared" si="14"/>
        <v>1.7762018513572748E-2</v>
      </c>
      <c r="G65" s="50">
        <f t="shared" si="15"/>
        <v>7.7548071473153863E-3</v>
      </c>
      <c r="H65" s="52">
        <v>1.3569473684210527</v>
      </c>
      <c r="I65" s="33"/>
      <c r="J65" s="22" t="s">
        <v>25</v>
      </c>
      <c r="K65" s="47">
        <v>14097</v>
      </c>
      <c r="L65" s="50">
        <f t="shared" si="16"/>
        <v>4.3590520600131105E-2</v>
      </c>
      <c r="M65" s="52">
        <v>1.7</v>
      </c>
      <c r="N65" s="33"/>
      <c r="O65" s="32"/>
    </row>
    <row r="66" spans="2:15" x14ac:dyDescent="0.25">
      <c r="B66" s="31"/>
      <c r="C66" s="28"/>
      <c r="D66" s="22" t="s">
        <v>4</v>
      </c>
      <c r="E66" s="47">
        <f>199903+228</f>
        <v>200131</v>
      </c>
      <c r="F66" s="50">
        <f t="shared" si="14"/>
        <v>7.8256660072645035E-2</v>
      </c>
      <c r="G66" s="50">
        <f t="shared" si="15"/>
        <v>3.4166460663952437E-2</v>
      </c>
      <c r="H66" s="52">
        <v>1.4259172184254034</v>
      </c>
      <c r="I66" s="33"/>
      <c r="J66" s="22" t="s">
        <v>44</v>
      </c>
      <c r="K66" s="47">
        <v>14094</v>
      </c>
      <c r="L66" s="50">
        <f t="shared" si="16"/>
        <v>4.3581244047545424E-2</v>
      </c>
      <c r="M66" s="52">
        <v>1.7964516129032255</v>
      </c>
      <c r="N66" s="33"/>
      <c r="O66" s="32"/>
    </row>
    <row r="67" spans="2:15" x14ac:dyDescent="0.25">
      <c r="B67" s="31"/>
      <c r="C67" s="28"/>
      <c r="D67" s="48" t="s">
        <v>30</v>
      </c>
      <c r="E67" s="49">
        <f>SUM(E59:E66)</f>
        <v>2557367</v>
      </c>
      <c r="F67" s="51">
        <f t="shared" si="14"/>
        <v>1</v>
      </c>
      <c r="G67" s="114"/>
      <c r="H67" s="28"/>
      <c r="I67" s="33"/>
      <c r="J67" s="22" t="s">
        <v>37</v>
      </c>
      <c r="K67" s="47">
        <v>12290</v>
      </c>
      <c r="L67" s="50">
        <f t="shared" si="16"/>
        <v>3.8002943759353855E-2</v>
      </c>
      <c r="M67" s="52">
        <v>1.561549295774648</v>
      </c>
      <c r="N67" s="33"/>
      <c r="O67" s="32"/>
    </row>
    <row r="68" spans="2:15" x14ac:dyDescent="0.25">
      <c r="B68" s="31"/>
      <c r="C68" s="28"/>
      <c r="D68" s="53" t="s">
        <v>31</v>
      </c>
      <c r="E68" s="47"/>
      <c r="F68" s="22"/>
      <c r="G68" s="114"/>
      <c r="H68" s="28"/>
      <c r="I68" s="33"/>
      <c r="J68" s="22" t="s">
        <v>121</v>
      </c>
      <c r="K68" s="47">
        <v>12063</v>
      </c>
      <c r="L68" s="50">
        <f t="shared" si="16"/>
        <v>3.7301017947037066E-2</v>
      </c>
      <c r="M68" s="52">
        <v>1.7980000000000003</v>
      </c>
      <c r="N68" s="33"/>
      <c r="O68" s="32"/>
    </row>
    <row r="69" spans="2:15" x14ac:dyDescent="0.25">
      <c r="B69" s="31"/>
      <c r="C69" s="28"/>
      <c r="D69" s="113"/>
      <c r="E69" s="39"/>
      <c r="F69" s="112"/>
      <c r="G69" s="114"/>
      <c r="H69" s="28"/>
      <c r="I69" s="33"/>
      <c r="J69" s="22" t="s">
        <v>127</v>
      </c>
      <c r="K69" s="47">
        <v>11985</v>
      </c>
      <c r="L69" s="50">
        <f t="shared" si="16"/>
        <v>3.7059827579809274E-2</v>
      </c>
      <c r="M69" s="52">
        <v>1.6494915254237286</v>
      </c>
      <c r="N69" s="33"/>
      <c r="O69" s="32"/>
    </row>
    <row r="70" spans="2:15" x14ac:dyDescent="0.25">
      <c r="B70" s="31"/>
      <c r="C70" s="28"/>
      <c r="D70" s="53" t="s">
        <v>45</v>
      </c>
      <c r="E70" s="47">
        <v>755287</v>
      </c>
      <c r="F70" s="112"/>
      <c r="G70" s="50">
        <f>+E70/E$78</f>
        <v>0.12894296023851701</v>
      </c>
      <c r="H70" s="52">
        <v>1.3347916666666666</v>
      </c>
      <c r="I70" s="33"/>
      <c r="J70" s="22" t="s">
        <v>26</v>
      </c>
      <c r="K70" s="47">
        <v>10372</v>
      </c>
      <c r="L70" s="50">
        <f t="shared" si="16"/>
        <v>3.2072134472906279E-2</v>
      </c>
      <c r="M70" s="52">
        <v>1.5452173913043472</v>
      </c>
      <c r="N70" s="33"/>
      <c r="O70" s="32"/>
    </row>
    <row r="71" spans="2:15" x14ac:dyDescent="0.25">
      <c r="B71" s="31"/>
      <c r="C71" s="28"/>
      <c r="D71" s="53" t="s">
        <v>113</v>
      </c>
      <c r="E71" s="47">
        <v>613172</v>
      </c>
      <c r="F71" s="112"/>
      <c r="G71" s="50">
        <f>+E71/E$78</f>
        <v>0.10468101902372469</v>
      </c>
      <c r="H71" s="52">
        <v>1.3561458333333329</v>
      </c>
      <c r="I71" s="33"/>
      <c r="J71" s="22" t="s">
        <v>41</v>
      </c>
      <c r="K71" s="47">
        <v>8016</v>
      </c>
      <c r="L71" s="50">
        <f t="shared" si="16"/>
        <v>2.4786948508948782E-2</v>
      </c>
      <c r="M71" s="52">
        <v>1.5670329670329677</v>
      </c>
      <c r="N71" s="33"/>
      <c r="O71" s="32"/>
    </row>
    <row r="72" spans="2:15" x14ac:dyDescent="0.25">
      <c r="B72" s="31"/>
      <c r="C72" s="28"/>
      <c r="D72" s="53" t="s">
        <v>42</v>
      </c>
      <c r="E72" s="47">
        <v>491738</v>
      </c>
      <c r="F72" s="112"/>
      <c r="G72" s="50">
        <f>+E72/E$78</f>
        <v>8.3949748084857639E-2</v>
      </c>
      <c r="H72" s="52">
        <v>1.3896875</v>
      </c>
      <c r="I72" s="33"/>
      <c r="J72" s="22" t="s">
        <v>40</v>
      </c>
      <c r="K72" s="47">
        <v>7872</v>
      </c>
      <c r="L72" s="50">
        <f t="shared" si="16"/>
        <v>2.4341673984835929E-2</v>
      </c>
      <c r="M72" s="52">
        <v>2.0231578947368423</v>
      </c>
      <c r="N72" s="33"/>
      <c r="O72" s="32"/>
    </row>
    <row r="73" spans="2:15" x14ac:dyDescent="0.25">
      <c r="B73" s="31"/>
      <c r="C73" s="28"/>
      <c r="D73" s="53" t="s">
        <v>117</v>
      </c>
      <c r="E73" s="47">
        <v>490275</v>
      </c>
      <c r="F73" s="112"/>
      <c r="G73" s="50">
        <f>+E73/E$78</f>
        <v>8.3699984020562945E-2</v>
      </c>
      <c r="H73" s="52">
        <v>1.3168749999999998</v>
      </c>
      <c r="I73" s="33"/>
      <c r="J73" s="22" t="s">
        <v>132</v>
      </c>
      <c r="K73" s="47">
        <v>6843</v>
      </c>
      <c r="L73" s="50">
        <f t="shared" si="16"/>
        <v>2.1159816447946171E-2</v>
      </c>
      <c r="M73" s="52">
        <v>2.0827027027027021</v>
      </c>
      <c r="N73" s="33"/>
      <c r="O73" s="32"/>
    </row>
    <row r="74" spans="2:15" x14ac:dyDescent="0.25">
      <c r="B74" s="31"/>
      <c r="C74" s="28"/>
      <c r="D74" s="53" t="s">
        <v>114</v>
      </c>
      <c r="E74" s="47">
        <v>309248</v>
      </c>
      <c r="F74" s="112"/>
      <c r="G74" s="50">
        <f t="shared" ref="G74:G77" si="17">+E74/E$78</f>
        <v>5.279496743336097E-2</v>
      </c>
      <c r="H74" s="52">
        <v>1.2895789473684207</v>
      </c>
      <c r="I74" s="33"/>
      <c r="J74" s="22" t="s">
        <v>133</v>
      </c>
      <c r="K74" s="47">
        <v>6298</v>
      </c>
      <c r="L74" s="50">
        <f t="shared" si="16"/>
        <v>1.9474576061546834E-2</v>
      </c>
      <c r="M74" s="52">
        <v>1.6756962025316451</v>
      </c>
      <c r="N74" s="33"/>
      <c r="O74" s="32"/>
    </row>
    <row r="75" spans="2:15" x14ac:dyDescent="0.25">
      <c r="B75" s="31"/>
      <c r="C75" s="28"/>
      <c r="D75" s="53" t="s">
        <v>115</v>
      </c>
      <c r="E75" s="47">
        <v>246515</v>
      </c>
      <c r="F75" s="112"/>
      <c r="G75" s="50">
        <f t="shared" si="17"/>
        <v>4.2085159473416088E-2</v>
      </c>
      <c r="H75" s="52">
        <v>1.4140625</v>
      </c>
      <c r="I75" s="33"/>
      <c r="J75" s="22" t="s">
        <v>134</v>
      </c>
      <c r="K75" s="47">
        <v>6291</v>
      </c>
      <c r="L75" s="50">
        <f t="shared" si="16"/>
        <v>1.9452930772180237E-2</v>
      </c>
      <c r="M75" s="52">
        <v>1.2678</v>
      </c>
      <c r="N75" s="33"/>
      <c r="O75" s="32"/>
    </row>
    <row r="76" spans="2:15" x14ac:dyDescent="0.25">
      <c r="B76" s="31"/>
      <c r="C76" s="28"/>
      <c r="D76" s="53" t="s">
        <v>46</v>
      </c>
      <c r="E76" s="47">
        <v>201336</v>
      </c>
      <c r="F76" s="112"/>
      <c r="G76" s="50">
        <f t="shared" si="17"/>
        <v>3.4372178844044789E-2</v>
      </c>
      <c r="H76" s="52">
        <v>1.4873958333333339</v>
      </c>
      <c r="I76" s="33"/>
      <c r="J76" s="22" t="s">
        <v>135</v>
      </c>
      <c r="K76" s="47">
        <v>6187</v>
      </c>
      <c r="L76" s="50">
        <f t="shared" si="16"/>
        <v>1.9131343615876512E-2</v>
      </c>
      <c r="M76" s="52">
        <v>1.9669047619047615</v>
      </c>
      <c r="N76" s="33"/>
      <c r="O76" s="32"/>
    </row>
    <row r="77" spans="2:15" x14ac:dyDescent="0.25">
      <c r="B77" s="31"/>
      <c r="C77" s="28"/>
      <c r="D77" s="53" t="s">
        <v>116</v>
      </c>
      <c r="E77" s="47">
        <v>192590</v>
      </c>
      <c r="F77" s="112"/>
      <c r="G77" s="50">
        <f t="shared" si="17"/>
        <v>3.2879057513681538E-2</v>
      </c>
      <c r="H77" s="52">
        <v>1.2709374999999994</v>
      </c>
      <c r="I77" s="33"/>
      <c r="J77" s="22" t="s">
        <v>4</v>
      </c>
      <c r="K77" s="47">
        <f>67474+201</f>
        <v>67675</v>
      </c>
      <c r="L77" s="50">
        <f t="shared" si="16"/>
        <v>0.20926356541206448</v>
      </c>
      <c r="M77" s="52">
        <v>1.777435167501034</v>
      </c>
      <c r="N77" s="33"/>
      <c r="O77" s="32"/>
    </row>
    <row r="78" spans="2:15" x14ac:dyDescent="0.25">
      <c r="B78" s="31"/>
      <c r="C78" s="28"/>
      <c r="D78" s="48" t="s">
        <v>10</v>
      </c>
      <c r="E78" s="49">
        <f>+SUM(E70:E77)+E67</f>
        <v>5857528</v>
      </c>
      <c r="F78" s="115"/>
      <c r="G78" s="51">
        <f>+E78/E$78</f>
        <v>1</v>
      </c>
      <c r="H78" s="61">
        <v>1.4073227024758712</v>
      </c>
      <c r="I78" s="33"/>
      <c r="J78" s="48" t="s">
        <v>10</v>
      </c>
      <c r="K78" s="49">
        <f>SUM(K59:K77)</f>
        <v>323396</v>
      </c>
      <c r="L78" s="51">
        <f t="shared" si="16"/>
        <v>1</v>
      </c>
      <c r="M78" s="61">
        <f>+AVERAGE(M59:M73)</f>
        <v>1.6579594515853768</v>
      </c>
      <c r="N78" s="33"/>
      <c r="O78" s="32"/>
    </row>
    <row r="79" spans="2:15" ht="15" customHeight="1" x14ac:dyDescent="0.25">
      <c r="B79" s="31"/>
      <c r="C79" s="28"/>
      <c r="D79" s="53" t="s">
        <v>32</v>
      </c>
      <c r="E79" s="121"/>
      <c r="F79" s="121"/>
      <c r="G79" s="121"/>
      <c r="H79" s="122"/>
      <c r="I79" s="121"/>
      <c r="J79" s="121"/>
      <c r="K79" s="121"/>
      <c r="L79" s="121"/>
      <c r="M79" s="33"/>
      <c r="N79" s="33"/>
      <c r="O79" s="32"/>
    </row>
    <row r="80" spans="2:15" x14ac:dyDescent="0.25">
      <c r="B80" s="31"/>
      <c r="C80" s="33"/>
      <c r="D80" s="173" t="s">
        <v>34</v>
      </c>
      <c r="E80" s="173"/>
      <c r="F80" s="173"/>
      <c r="G80" s="173"/>
      <c r="H80" s="173"/>
      <c r="I80" s="173"/>
      <c r="J80" s="173"/>
      <c r="K80" s="173"/>
      <c r="L80" s="173"/>
      <c r="M80" s="33"/>
      <c r="N80" s="33"/>
      <c r="O80" s="32"/>
    </row>
    <row r="81" spans="2:21" x14ac:dyDescent="0.25">
      <c r="B81" s="35"/>
      <c r="C81" s="36"/>
      <c r="D81" s="36"/>
      <c r="E81" s="36"/>
      <c r="F81" s="36"/>
      <c r="G81" s="36"/>
      <c r="H81" s="36"/>
      <c r="I81" s="36"/>
      <c r="J81" s="36"/>
      <c r="K81" s="62"/>
      <c r="L81" s="36"/>
      <c r="M81" s="36"/>
      <c r="N81" s="36"/>
      <c r="O81" s="37"/>
      <c r="S81" s="83"/>
      <c r="T81" s="83"/>
      <c r="U81" s="83"/>
    </row>
    <row r="82" spans="2:21" x14ac:dyDescent="0.25">
      <c r="B82" s="28"/>
      <c r="C82" s="28"/>
      <c r="D82" s="28"/>
      <c r="E82" s="60"/>
      <c r="F82" s="28"/>
      <c r="G82" s="28"/>
      <c r="H82" s="28"/>
      <c r="I82" s="28"/>
      <c r="J82" s="28"/>
      <c r="K82" s="28"/>
      <c r="L82" s="28"/>
      <c r="M82" s="28"/>
      <c r="N82" s="28"/>
      <c r="O82" s="28"/>
      <c r="S82" s="83" t="s">
        <v>117</v>
      </c>
      <c r="T82" s="90">
        <f t="shared" ref="T82:T89" si="18">+U82/1000</f>
        <v>1477.8409999999999</v>
      </c>
      <c r="U82" s="90">
        <v>1477841</v>
      </c>
    </row>
    <row r="83" spans="2:21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S83" s="83" t="s">
        <v>45</v>
      </c>
      <c r="T83" s="90">
        <f t="shared" si="18"/>
        <v>1272.902</v>
      </c>
      <c r="U83" s="90">
        <v>1272902</v>
      </c>
    </row>
    <row r="84" spans="2:21" x14ac:dyDescent="0.25">
      <c r="B84" s="40" t="s">
        <v>72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0"/>
      <c r="S84" s="83" t="s">
        <v>113</v>
      </c>
      <c r="T84" s="90">
        <f t="shared" si="18"/>
        <v>1132.509</v>
      </c>
      <c r="U84" s="90">
        <v>1132509</v>
      </c>
    </row>
    <row r="85" spans="2:21" x14ac:dyDescent="0.25">
      <c r="B85" s="74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2"/>
      <c r="S85" s="83" t="s">
        <v>42</v>
      </c>
      <c r="T85" s="90">
        <f t="shared" si="18"/>
        <v>802.072</v>
      </c>
      <c r="U85" s="90">
        <v>802072</v>
      </c>
    </row>
    <row r="86" spans="2:21" x14ac:dyDescent="0.25">
      <c r="B86" s="31"/>
      <c r="C86" s="28"/>
      <c r="D86" s="28"/>
      <c r="E86" s="169" t="s">
        <v>67</v>
      </c>
      <c r="F86" s="169"/>
      <c r="G86" s="169"/>
      <c r="H86" s="169"/>
      <c r="I86" s="169"/>
      <c r="J86" s="169"/>
      <c r="K86" s="169"/>
      <c r="L86" s="28"/>
      <c r="M86" s="28"/>
      <c r="N86" s="33"/>
      <c r="O86" s="32"/>
      <c r="S86" s="83" t="s">
        <v>114</v>
      </c>
      <c r="T86" s="90">
        <f t="shared" si="18"/>
        <v>538.81899999999996</v>
      </c>
      <c r="U86" s="90">
        <v>538819</v>
      </c>
    </row>
    <row r="87" spans="2:21" x14ac:dyDescent="0.25">
      <c r="B87" s="31"/>
      <c r="C87" s="28"/>
      <c r="D87" s="28"/>
      <c r="E87" s="20" t="s">
        <v>68</v>
      </c>
      <c r="F87" s="20" t="s">
        <v>59</v>
      </c>
      <c r="G87" s="20" t="s">
        <v>62</v>
      </c>
      <c r="H87" s="20" t="s">
        <v>60</v>
      </c>
      <c r="I87" s="20" t="s">
        <v>62</v>
      </c>
      <c r="J87" s="65" t="s">
        <v>61</v>
      </c>
      <c r="K87" s="20" t="s">
        <v>62</v>
      </c>
      <c r="L87" s="28"/>
      <c r="M87" s="28"/>
      <c r="N87" s="33"/>
      <c r="O87" s="32"/>
      <c r="S87" s="83" t="s">
        <v>115</v>
      </c>
      <c r="T87" s="90">
        <f t="shared" si="18"/>
        <v>439.54500000000002</v>
      </c>
      <c r="U87" s="90">
        <v>439545</v>
      </c>
    </row>
    <row r="88" spans="2:21" x14ac:dyDescent="0.25">
      <c r="B88" s="31"/>
      <c r="C88" s="28"/>
      <c r="D88" s="28"/>
      <c r="E88" s="71" t="s">
        <v>66</v>
      </c>
      <c r="F88" s="66">
        <f>SUM(F89:F94)</f>
        <v>639</v>
      </c>
      <c r="G88" s="72">
        <f>+F88/F96</f>
        <v>0.1327930174563591</v>
      </c>
      <c r="H88" s="66">
        <f>SUM(H89:H94)</f>
        <v>14517</v>
      </c>
      <c r="I88" s="72">
        <f>+H88/H95</f>
        <v>0.38263046916183446</v>
      </c>
      <c r="J88" s="66">
        <f>SUM(J89:J94)</f>
        <v>25922</v>
      </c>
      <c r="K88" s="72">
        <f>+J88/J95</f>
        <v>0.41771947918009539</v>
      </c>
      <c r="L88" s="28"/>
      <c r="M88" s="28"/>
      <c r="N88" s="33"/>
      <c r="O88" s="32"/>
      <c r="S88" s="83" t="s">
        <v>46</v>
      </c>
      <c r="T88" s="90">
        <f t="shared" si="18"/>
        <v>301.36900000000003</v>
      </c>
      <c r="U88" s="90">
        <v>301369</v>
      </c>
    </row>
    <row r="89" spans="2:21" x14ac:dyDescent="0.25">
      <c r="B89" s="31"/>
      <c r="C89" s="28"/>
      <c r="D89" s="28"/>
      <c r="E89" s="78" t="s">
        <v>73</v>
      </c>
      <c r="F89" s="47">
        <f>+Áncash!F65+Apurímac!F65+Ayacucho!F65+Huancavelica!F65+Huánuco!F65+Ica!F65+Junín!F65+Pasco!F65</f>
        <v>113</v>
      </c>
      <c r="G89" s="124">
        <f>+F89/F$88</f>
        <v>0.17683881064162754</v>
      </c>
      <c r="H89" s="47">
        <f>+Áncash!H65+Apurímac!H65+Ayacucho!H65+Huancavelica!H65+Huánuco!H65+Ica!H65+Junín!H65+Pasco!H65</f>
        <v>1931</v>
      </c>
      <c r="I89" s="124">
        <f t="shared" ref="I89:I94" si="19">+H89/H$88</f>
        <v>0.13301646345663704</v>
      </c>
      <c r="J89" s="47">
        <f>+Áncash!J65+Apurímac!J65+Ayacucho!J65+Huancavelica!J65+Huánuco!J65+Ica!J65+Junín!J65+Pasco!J65</f>
        <v>3099</v>
      </c>
      <c r="K89" s="124">
        <f t="shared" ref="K89:K94" si="20">+J89/J$88</f>
        <v>0.11955096057402978</v>
      </c>
      <c r="L89" s="28"/>
      <c r="M89" s="28"/>
      <c r="N89" s="33"/>
      <c r="O89" s="32"/>
      <c r="S89" s="83" t="s">
        <v>116</v>
      </c>
      <c r="T89" s="90">
        <f t="shared" si="18"/>
        <v>215.86699999999999</v>
      </c>
      <c r="U89" s="90">
        <v>215867</v>
      </c>
    </row>
    <row r="90" spans="2:21" x14ac:dyDescent="0.25">
      <c r="B90" s="31"/>
      <c r="C90" s="28"/>
      <c r="D90" s="28"/>
      <c r="E90" s="78" t="s">
        <v>74</v>
      </c>
      <c r="F90" s="47">
        <f>+Áncash!F66+Apurímac!F66+Ayacucho!F66+Huancavelica!F66+Huánuco!F66+Ica!F66+Junín!F66+Pasco!F66</f>
        <v>332</v>
      </c>
      <c r="G90" s="124">
        <f t="shared" ref="G90:G94" si="21">+F90/F$88</f>
        <v>0.51956181533646317</v>
      </c>
      <c r="H90" s="47">
        <f>+Áncash!H66+Apurímac!H66+Ayacucho!H66+Huancavelica!H66+Huánuco!H66+Ica!H66+Junín!H66+Pasco!H66</f>
        <v>6699</v>
      </c>
      <c r="I90" s="124">
        <f t="shared" si="19"/>
        <v>0.461458979127919</v>
      </c>
      <c r="J90" s="47">
        <f>+Áncash!J66+Apurímac!J66+Ayacucho!J66+Huancavelica!J66+Huánuco!J66+Ica!J66+Junín!J66+Pasco!J66</f>
        <v>11546</v>
      </c>
      <c r="K90" s="124">
        <f t="shared" si="20"/>
        <v>0.44541316256461694</v>
      </c>
      <c r="L90" s="28"/>
      <c r="M90" s="21"/>
      <c r="N90" s="33"/>
      <c r="O90" s="32"/>
    </row>
    <row r="91" spans="2:21" x14ac:dyDescent="0.25">
      <c r="B91" s="31"/>
      <c r="C91" s="28"/>
      <c r="D91" s="28"/>
      <c r="E91" s="78" t="s">
        <v>75</v>
      </c>
      <c r="F91" s="47">
        <f>+Áncash!F67+Apurímac!F67+Ayacucho!F67+Huancavelica!F67+Huánuco!F67+Ica!F67+Junín!F67+Pasco!F67</f>
        <v>176</v>
      </c>
      <c r="G91" s="124">
        <f t="shared" si="21"/>
        <v>0.27543035993740217</v>
      </c>
      <c r="H91" s="47">
        <f>+Áncash!H67+Apurímac!H67+Ayacucho!H67+Huancavelica!H67+Huánuco!H67+Ica!H67+Junín!H67+Pasco!H67</f>
        <v>4955</v>
      </c>
      <c r="I91" s="124">
        <f t="shared" si="19"/>
        <v>0.34132396500654405</v>
      </c>
      <c r="J91" s="47">
        <f>+Áncash!J67+Apurímac!J67+Ayacucho!J67+Huancavelica!J67+Huánuco!J67+Ica!J67+Junín!J67+Pasco!J67</f>
        <v>9227</v>
      </c>
      <c r="K91" s="124">
        <f t="shared" si="20"/>
        <v>0.35595247280302444</v>
      </c>
      <c r="L91" s="28"/>
      <c r="M91" s="28"/>
      <c r="N91" s="33"/>
      <c r="O91" s="32"/>
    </row>
    <row r="92" spans="2:21" x14ac:dyDescent="0.25">
      <c r="B92" s="31"/>
      <c r="C92" s="28"/>
      <c r="D92" s="28"/>
      <c r="E92" s="78" t="s">
        <v>76</v>
      </c>
      <c r="F92" s="47">
        <f>+Áncash!F68+Apurímac!F68+Ayacucho!F68+Huancavelica!F68+Huánuco!F68+Ica!F68+Junín!F68+Pasco!F68</f>
        <v>4</v>
      </c>
      <c r="G92" s="124">
        <f t="shared" si="21"/>
        <v>6.2597809076682318E-3</v>
      </c>
      <c r="H92" s="47">
        <f>+Áncash!H68+Apurímac!H68+Ayacucho!H68+Huancavelica!H68+Huánuco!H68+Ica!H68+Junín!H68+Pasco!H68</f>
        <v>334</v>
      </c>
      <c r="I92" s="124">
        <f t="shared" si="19"/>
        <v>2.3007508438382587E-2</v>
      </c>
      <c r="J92" s="47">
        <f>+Áncash!J68+Apurímac!J68+Ayacucho!J68+Huancavelica!J68+Huánuco!J68+Ica!J68+Junín!J68+Pasco!J68</f>
        <v>721</v>
      </c>
      <c r="K92" s="124">
        <f t="shared" si="20"/>
        <v>2.7814211866368337E-2</v>
      </c>
      <c r="L92" s="28"/>
      <c r="M92" s="28"/>
      <c r="N92" s="33"/>
      <c r="O92" s="32"/>
    </row>
    <row r="93" spans="2:21" x14ac:dyDescent="0.25">
      <c r="B93" s="31"/>
      <c r="C93" s="28"/>
      <c r="D93" s="28"/>
      <c r="E93" s="78" t="s">
        <v>77</v>
      </c>
      <c r="F93" s="47">
        <f>+Áncash!F69+Apurímac!F69+Ayacucho!F69+Huancavelica!F69+Huánuco!F69+Ica!F69+Junín!F69+Pasco!F69</f>
        <v>4</v>
      </c>
      <c r="G93" s="124">
        <f t="shared" si="21"/>
        <v>6.2597809076682318E-3</v>
      </c>
      <c r="H93" s="47">
        <f>+Áncash!H69+Apurímac!H69+Ayacucho!H69+Huancavelica!H69+Huánuco!H69+Ica!H69+Junín!H69+Pasco!H69</f>
        <v>476</v>
      </c>
      <c r="I93" s="124">
        <f t="shared" si="19"/>
        <v>3.2789143762485359E-2</v>
      </c>
      <c r="J93" s="47">
        <f>+Áncash!J69+Apurímac!J69+Ayacucho!J69+Huancavelica!J69+Huánuco!J69+Ica!J69+Junín!J69+Pasco!J69</f>
        <v>1058</v>
      </c>
      <c r="K93" s="124">
        <f t="shared" si="20"/>
        <v>4.081475194815215E-2</v>
      </c>
      <c r="L93" s="28"/>
      <c r="M93" s="28"/>
      <c r="N93" s="33"/>
      <c r="O93" s="32"/>
    </row>
    <row r="94" spans="2:21" x14ac:dyDescent="0.25">
      <c r="B94" s="31"/>
      <c r="C94" s="28"/>
      <c r="D94" s="28"/>
      <c r="E94" s="22" t="s">
        <v>69</v>
      </c>
      <c r="F94" s="47">
        <f>+Áncash!F70+Apurímac!F70+Ayacucho!F70+Huancavelica!F70+Huánuco!F70+Ica!F70+Junín!F70+Pasco!F70</f>
        <v>10</v>
      </c>
      <c r="G94" s="124">
        <f t="shared" si="21"/>
        <v>1.5649452269170579E-2</v>
      </c>
      <c r="H94" s="47">
        <f>+Áncash!H70+Apurímac!H70+Ayacucho!H70+Huancavelica!H70+Huánuco!H70+Ica!H70+Junín!H70+Pasco!H70</f>
        <v>122</v>
      </c>
      <c r="I94" s="124">
        <f t="shared" si="19"/>
        <v>8.4039402080319618E-3</v>
      </c>
      <c r="J94" s="47">
        <f>+Áncash!J70+Apurímac!J70+Ayacucho!J70+Huancavelica!J70+Huánuco!J70+Ica!J70+Junín!J70+Pasco!J70</f>
        <v>271</v>
      </c>
      <c r="K94" s="124">
        <f t="shared" si="20"/>
        <v>1.0454440243808347E-2</v>
      </c>
      <c r="L94" s="28"/>
      <c r="M94" s="28"/>
      <c r="N94" s="33"/>
      <c r="O94" s="32"/>
    </row>
    <row r="95" spans="2:21" ht="15.75" thickBot="1" x14ac:dyDescent="0.3">
      <c r="B95" s="31"/>
      <c r="C95" s="28"/>
      <c r="D95" s="28"/>
      <c r="E95" s="69" t="s">
        <v>64</v>
      </c>
      <c r="F95" s="70">
        <f>+Áncash!F71+Apurímac!F71+Ayacucho!F71+Huancavelica!F71+Huánuco!F71+Ica!F71+Junín!F71+Pasco!F71</f>
        <v>4173</v>
      </c>
      <c r="G95" s="73">
        <f>+F95/F96</f>
        <v>0.86720698254364093</v>
      </c>
      <c r="H95" s="70">
        <f>+Áncash!H71+Apurímac!H71+Ayacucho!H71+Huancavelica!H71+Huánuco!H71+Ica!H71+Junín!H71+Pasco!H71</f>
        <v>37940</v>
      </c>
      <c r="I95" s="73">
        <f>+H95/H96</f>
        <v>0.7232590502697448</v>
      </c>
      <c r="J95" s="70">
        <f>+Áncash!J71+Apurímac!J71+Ayacucho!J71+Huancavelica!J71+Huánuco!J71+Ica!J71+Junín!J71+Pasco!J71</f>
        <v>62056</v>
      </c>
      <c r="K95" s="73">
        <f>+J95/J96</f>
        <v>0.70535815772124855</v>
      </c>
      <c r="L95" s="28"/>
      <c r="M95" s="28"/>
      <c r="N95" s="33"/>
      <c r="O95" s="32"/>
    </row>
    <row r="96" spans="2:21" ht="15.75" thickTop="1" x14ac:dyDescent="0.25">
      <c r="B96" s="31"/>
      <c r="C96" s="28"/>
      <c r="D96" s="28"/>
      <c r="E96" s="71" t="s">
        <v>65</v>
      </c>
      <c r="F96" s="66">
        <f>+F95+F88</f>
        <v>4812</v>
      </c>
      <c r="G96" s="125"/>
      <c r="H96" s="66">
        <f>+H95+H88</f>
        <v>52457</v>
      </c>
      <c r="I96" s="125"/>
      <c r="J96" s="66">
        <f>+J95+J88</f>
        <v>87978</v>
      </c>
      <c r="K96" s="125"/>
      <c r="L96" s="28"/>
      <c r="M96" s="28"/>
      <c r="N96" s="33"/>
      <c r="O96" s="32"/>
    </row>
    <row r="97" spans="2:15" x14ac:dyDescent="0.25">
      <c r="B97" s="31"/>
      <c r="C97" s="28"/>
      <c r="D97" s="28"/>
      <c r="E97" s="172" t="s">
        <v>71</v>
      </c>
      <c r="F97" s="172"/>
      <c r="G97" s="172"/>
      <c r="H97" s="172"/>
      <c r="I97" s="172"/>
      <c r="J97" s="172"/>
      <c r="K97" s="172"/>
      <c r="L97" s="28"/>
      <c r="M97" s="28"/>
      <c r="N97" s="33"/>
      <c r="O97" s="32"/>
    </row>
    <row r="98" spans="2:15" x14ac:dyDescent="0.25">
      <c r="B98" s="31"/>
      <c r="C98" s="28"/>
      <c r="D98" s="28"/>
      <c r="E98" s="172"/>
      <c r="F98" s="172"/>
      <c r="G98" s="172"/>
      <c r="H98" s="172"/>
      <c r="I98" s="172"/>
      <c r="J98" s="172"/>
      <c r="K98" s="172"/>
      <c r="L98" s="28"/>
      <c r="M98" s="28"/>
      <c r="N98" s="33"/>
      <c r="O98" s="32"/>
    </row>
    <row r="99" spans="2:15" x14ac:dyDescent="0.25">
      <c r="B99" s="31"/>
      <c r="C99" s="28"/>
      <c r="D99" s="28"/>
      <c r="E99" s="126" t="s">
        <v>70</v>
      </c>
      <c r="F99" s="53"/>
      <c r="G99" s="53"/>
      <c r="H99" s="53"/>
      <c r="I99" s="53"/>
      <c r="J99" s="53"/>
      <c r="K99" s="122"/>
      <c r="L99" s="28"/>
      <c r="M99" s="28"/>
      <c r="N99" s="33"/>
      <c r="O99" s="32"/>
    </row>
    <row r="100" spans="2:15" x14ac:dyDescent="0.25">
      <c r="B100" s="31"/>
      <c r="C100" s="28"/>
      <c r="D100" s="28"/>
      <c r="E100" s="75" t="s">
        <v>63</v>
      </c>
      <c r="F100" s="75"/>
      <c r="G100" s="75"/>
      <c r="H100" s="75"/>
      <c r="I100" s="75"/>
      <c r="J100" s="75"/>
      <c r="K100" s="127"/>
      <c r="L100" s="28"/>
      <c r="M100" s="28"/>
      <c r="N100" s="33"/>
      <c r="O100" s="32"/>
    </row>
    <row r="101" spans="2:15" x14ac:dyDescent="0.25">
      <c r="B101" s="31"/>
      <c r="C101" s="28"/>
      <c r="D101" s="28"/>
      <c r="E101" s="75"/>
      <c r="F101" s="75"/>
      <c r="G101" s="75"/>
      <c r="H101" s="75"/>
      <c r="I101" s="75"/>
      <c r="J101" s="75"/>
      <c r="K101" s="76"/>
      <c r="L101" s="28"/>
      <c r="M101" s="28"/>
      <c r="N101" s="33"/>
      <c r="O101" s="32"/>
    </row>
    <row r="102" spans="2:15" x14ac:dyDescent="0.25">
      <c r="B102" s="31"/>
      <c r="C102" s="28"/>
      <c r="D102" s="28"/>
      <c r="E102" s="75"/>
      <c r="F102" s="75"/>
      <c r="G102" s="75"/>
      <c r="H102" s="75"/>
      <c r="I102" s="75"/>
      <c r="J102" s="75"/>
      <c r="K102" s="76"/>
      <c r="L102" s="28"/>
      <c r="M102" s="28"/>
      <c r="N102" s="33"/>
      <c r="O102" s="32"/>
    </row>
    <row r="103" spans="2:15" x14ac:dyDescent="0.25">
      <c r="B103" s="31"/>
      <c r="C103" s="122"/>
      <c r="D103" s="128"/>
      <c r="E103" s="129"/>
      <c r="F103" s="129"/>
      <c r="G103" s="129"/>
      <c r="H103" s="129"/>
      <c r="I103" s="9"/>
      <c r="O103" s="32"/>
    </row>
    <row r="104" spans="2:15" x14ac:dyDescent="0.25">
      <c r="B104" s="31"/>
      <c r="C104" s="169" t="s">
        <v>85</v>
      </c>
      <c r="D104" s="169"/>
      <c r="E104" s="169"/>
      <c r="F104" s="169"/>
      <c r="G104" s="169"/>
      <c r="H104" s="169"/>
      <c r="J104" s="79"/>
      <c r="O104" s="32"/>
    </row>
    <row r="105" spans="2:15" x14ac:dyDescent="0.25">
      <c r="B105" s="31"/>
      <c r="C105" s="55" t="s">
        <v>5</v>
      </c>
      <c r="D105" s="82" t="s">
        <v>73</v>
      </c>
      <c r="E105" s="82" t="s">
        <v>74</v>
      </c>
      <c r="F105" s="82" t="s">
        <v>75</v>
      </c>
      <c r="G105" s="82" t="s">
        <v>76</v>
      </c>
      <c r="H105" s="82" t="s">
        <v>77</v>
      </c>
      <c r="I105" s="130" t="s">
        <v>10</v>
      </c>
      <c r="J105" s="56" t="s">
        <v>79</v>
      </c>
      <c r="K105" s="56" t="s">
        <v>80</v>
      </c>
      <c r="L105" s="56" t="s">
        <v>81</v>
      </c>
      <c r="M105" s="56" t="s">
        <v>82</v>
      </c>
      <c r="N105" s="56" t="s">
        <v>83</v>
      </c>
      <c r="O105" s="32"/>
    </row>
    <row r="106" spans="2:15" x14ac:dyDescent="0.25">
      <c r="B106" s="31"/>
      <c r="C106" s="108" t="s">
        <v>113</v>
      </c>
      <c r="D106" s="109">
        <v>47</v>
      </c>
      <c r="E106" s="109">
        <v>145</v>
      </c>
      <c r="F106" s="109">
        <v>49</v>
      </c>
      <c r="G106" s="109">
        <v>0</v>
      </c>
      <c r="H106" s="109">
        <v>0</v>
      </c>
      <c r="I106" s="131">
        <f>SUM(D106:H106)</f>
        <v>241</v>
      </c>
      <c r="J106" s="118">
        <f>+D106/$I106</f>
        <v>0.19502074688796681</v>
      </c>
      <c r="K106" s="118">
        <f t="shared" ref="K106:N113" si="22">+E106/$I106</f>
        <v>0.60165975103734437</v>
      </c>
      <c r="L106" s="118">
        <f t="shared" si="22"/>
        <v>0.2033195020746888</v>
      </c>
      <c r="M106" s="118">
        <f t="shared" si="22"/>
        <v>0</v>
      </c>
      <c r="N106" s="118">
        <f t="shared" si="22"/>
        <v>0</v>
      </c>
      <c r="O106" s="32"/>
    </row>
    <row r="107" spans="2:15" x14ac:dyDescent="0.25">
      <c r="B107" s="31"/>
      <c r="C107" s="108" t="s">
        <v>114</v>
      </c>
      <c r="D107" s="109">
        <v>5</v>
      </c>
      <c r="E107" s="109">
        <v>12</v>
      </c>
      <c r="F107" s="109">
        <v>6</v>
      </c>
      <c r="G107" s="109">
        <v>0</v>
      </c>
      <c r="H107" s="109">
        <v>0</v>
      </c>
      <c r="I107" s="131">
        <f t="shared" ref="I107:I113" si="23">SUM(D107:H107)</f>
        <v>23</v>
      </c>
      <c r="J107" s="118">
        <f t="shared" ref="J107:J113" si="24">+D107/$I107</f>
        <v>0.21739130434782608</v>
      </c>
      <c r="K107" s="118">
        <f t="shared" si="22"/>
        <v>0.52173913043478259</v>
      </c>
      <c r="L107" s="118">
        <f t="shared" si="22"/>
        <v>0.2608695652173913</v>
      </c>
      <c r="M107" s="118">
        <f t="shared" si="22"/>
        <v>0</v>
      </c>
      <c r="N107" s="118">
        <f t="shared" si="22"/>
        <v>0</v>
      </c>
      <c r="O107" s="32"/>
    </row>
    <row r="108" spans="2:15" x14ac:dyDescent="0.25">
      <c r="B108" s="31"/>
      <c r="C108" s="108" t="s">
        <v>115</v>
      </c>
      <c r="D108" s="109">
        <v>9</v>
      </c>
      <c r="E108" s="109">
        <v>9</v>
      </c>
      <c r="F108" s="109">
        <v>9</v>
      </c>
      <c r="G108" s="109">
        <v>0</v>
      </c>
      <c r="H108" s="109">
        <v>0</v>
      </c>
      <c r="I108" s="131">
        <f t="shared" si="23"/>
        <v>27</v>
      </c>
      <c r="J108" s="118">
        <f t="shared" si="24"/>
        <v>0.33333333333333331</v>
      </c>
      <c r="K108" s="118">
        <f t="shared" si="22"/>
        <v>0.33333333333333331</v>
      </c>
      <c r="L108" s="118">
        <f t="shared" si="22"/>
        <v>0.33333333333333331</v>
      </c>
      <c r="M108" s="118">
        <f t="shared" si="22"/>
        <v>0</v>
      </c>
      <c r="N108" s="118">
        <f t="shared" si="22"/>
        <v>0</v>
      </c>
      <c r="O108" s="32"/>
    </row>
    <row r="109" spans="2:15" x14ac:dyDescent="0.25">
      <c r="B109" s="31"/>
      <c r="C109" s="108" t="s">
        <v>116</v>
      </c>
      <c r="D109" s="109">
        <v>1</v>
      </c>
      <c r="E109" s="109">
        <v>2</v>
      </c>
      <c r="F109" s="109">
        <v>3</v>
      </c>
      <c r="G109" s="109">
        <v>0</v>
      </c>
      <c r="H109" s="109">
        <v>0</v>
      </c>
      <c r="I109" s="131">
        <f t="shared" si="23"/>
        <v>6</v>
      </c>
      <c r="J109" s="118">
        <f t="shared" ref="J109:J112" si="25">+D109/$I109</f>
        <v>0.16666666666666666</v>
      </c>
      <c r="K109" s="118">
        <f t="shared" ref="K109:K112" si="26">+E109/$I109</f>
        <v>0.33333333333333331</v>
      </c>
      <c r="L109" s="118">
        <f t="shared" ref="L109:L112" si="27">+F109/$I109</f>
        <v>0.5</v>
      </c>
      <c r="M109" s="118">
        <f t="shared" ref="M109:M112" si="28">+G109/$I109</f>
        <v>0</v>
      </c>
      <c r="N109" s="118">
        <f t="shared" ref="N109:N112" si="29">+H109/$I109</f>
        <v>0</v>
      </c>
      <c r="O109" s="32"/>
    </row>
    <row r="110" spans="2:15" x14ac:dyDescent="0.25">
      <c r="B110" s="31"/>
      <c r="C110" s="108" t="s">
        <v>42</v>
      </c>
      <c r="D110" s="109">
        <v>13</v>
      </c>
      <c r="E110" s="109">
        <v>27</v>
      </c>
      <c r="F110" s="109">
        <v>8</v>
      </c>
      <c r="G110" s="109">
        <v>0</v>
      </c>
      <c r="H110" s="109">
        <v>0</v>
      </c>
      <c r="I110" s="131">
        <f t="shared" si="23"/>
        <v>48</v>
      </c>
      <c r="J110" s="118">
        <f t="shared" si="25"/>
        <v>0.27083333333333331</v>
      </c>
      <c r="K110" s="118">
        <f t="shared" si="26"/>
        <v>0.5625</v>
      </c>
      <c r="L110" s="118">
        <f t="shared" si="27"/>
        <v>0.16666666666666666</v>
      </c>
      <c r="M110" s="118">
        <f t="shared" si="28"/>
        <v>0</v>
      </c>
      <c r="N110" s="118">
        <f t="shared" si="29"/>
        <v>0</v>
      </c>
      <c r="O110" s="32"/>
    </row>
    <row r="111" spans="2:15" x14ac:dyDescent="0.25">
      <c r="B111" s="31"/>
      <c r="C111" s="108" t="s">
        <v>117</v>
      </c>
      <c r="D111" s="109">
        <v>19</v>
      </c>
      <c r="E111" s="109">
        <v>99</v>
      </c>
      <c r="F111" s="109">
        <v>83</v>
      </c>
      <c r="G111" s="109">
        <v>4</v>
      </c>
      <c r="H111" s="109">
        <v>4</v>
      </c>
      <c r="I111" s="131">
        <f t="shared" si="23"/>
        <v>209</v>
      </c>
      <c r="J111" s="118">
        <f t="shared" si="25"/>
        <v>9.0909090909090912E-2</v>
      </c>
      <c r="K111" s="118">
        <f t="shared" si="26"/>
        <v>0.47368421052631576</v>
      </c>
      <c r="L111" s="118">
        <f t="shared" si="27"/>
        <v>0.39712918660287083</v>
      </c>
      <c r="M111" s="118">
        <f t="shared" si="28"/>
        <v>1.9138755980861243E-2</v>
      </c>
      <c r="N111" s="118">
        <f t="shared" si="29"/>
        <v>1.9138755980861243E-2</v>
      </c>
      <c r="O111" s="32"/>
    </row>
    <row r="112" spans="2:15" x14ac:dyDescent="0.25">
      <c r="B112" s="31"/>
      <c r="C112" s="108" t="s">
        <v>45</v>
      </c>
      <c r="D112" s="109">
        <v>10</v>
      </c>
      <c r="E112" s="109">
        <v>33</v>
      </c>
      <c r="F112" s="109">
        <v>14</v>
      </c>
      <c r="G112" s="109">
        <v>0</v>
      </c>
      <c r="H112" s="109">
        <v>0</v>
      </c>
      <c r="I112" s="131">
        <f t="shared" si="23"/>
        <v>57</v>
      </c>
      <c r="J112" s="118">
        <f t="shared" si="25"/>
        <v>0.17543859649122806</v>
      </c>
      <c r="K112" s="118">
        <f t="shared" si="26"/>
        <v>0.57894736842105265</v>
      </c>
      <c r="L112" s="118">
        <f t="shared" si="27"/>
        <v>0.24561403508771928</v>
      </c>
      <c r="M112" s="118">
        <f t="shared" si="28"/>
        <v>0</v>
      </c>
      <c r="N112" s="118">
        <f t="shared" si="29"/>
        <v>0</v>
      </c>
      <c r="O112" s="32"/>
    </row>
    <row r="113" spans="2:23" x14ac:dyDescent="0.25">
      <c r="B113" s="31"/>
      <c r="C113" s="108" t="s">
        <v>46</v>
      </c>
      <c r="D113" s="109">
        <v>9</v>
      </c>
      <c r="E113" s="109">
        <v>5</v>
      </c>
      <c r="F113" s="109">
        <v>4</v>
      </c>
      <c r="G113" s="109">
        <v>0</v>
      </c>
      <c r="H113" s="109">
        <v>0</v>
      </c>
      <c r="I113" s="131">
        <f t="shared" si="23"/>
        <v>18</v>
      </c>
      <c r="J113" s="118">
        <f t="shared" si="24"/>
        <v>0.5</v>
      </c>
      <c r="K113" s="118">
        <f t="shared" si="22"/>
        <v>0.27777777777777779</v>
      </c>
      <c r="L113" s="118">
        <f t="shared" si="22"/>
        <v>0.22222222222222221</v>
      </c>
      <c r="M113" s="118">
        <f t="shared" si="22"/>
        <v>0</v>
      </c>
      <c r="N113" s="118">
        <f t="shared" si="22"/>
        <v>0</v>
      </c>
      <c r="O113" s="32"/>
    </row>
    <row r="114" spans="2:23" x14ac:dyDescent="0.25">
      <c r="B114" s="31"/>
      <c r="C114" s="110" t="s">
        <v>84</v>
      </c>
      <c r="D114" s="111">
        <f>SUM(D106:D113)</f>
        <v>113</v>
      </c>
      <c r="E114" s="111">
        <f t="shared" ref="E114:H114" si="30">SUM(E106:E113)</f>
        <v>332</v>
      </c>
      <c r="F114" s="111">
        <f t="shared" si="30"/>
        <v>176</v>
      </c>
      <c r="G114" s="111">
        <f t="shared" si="30"/>
        <v>4</v>
      </c>
      <c r="H114" s="111">
        <f t="shared" si="30"/>
        <v>4</v>
      </c>
      <c r="I114" s="131">
        <f>SUM(D114:H114)</f>
        <v>629</v>
      </c>
      <c r="J114" s="120">
        <f t="shared" ref="J114" si="31">+D114/$I114</f>
        <v>0.17965023847376788</v>
      </c>
      <c r="K114" s="120">
        <f t="shared" ref="K114" si="32">+E114/$I114</f>
        <v>0.52782193958664547</v>
      </c>
      <c r="L114" s="120">
        <f t="shared" ref="L114" si="33">+F114/$I114</f>
        <v>0.27980922098569155</v>
      </c>
      <c r="M114" s="120">
        <f t="shared" ref="M114" si="34">+G114/$I114</f>
        <v>6.3593004769475362E-3</v>
      </c>
      <c r="N114" s="120">
        <f t="shared" ref="N114" si="35">+H114/$I114</f>
        <v>6.3593004769475362E-3</v>
      </c>
      <c r="O114" s="32"/>
    </row>
    <row r="115" spans="2:23" x14ac:dyDescent="0.25">
      <c r="B115" s="31"/>
      <c r="C115" s="170" t="s">
        <v>78</v>
      </c>
      <c r="D115" s="170"/>
      <c r="E115" s="170"/>
      <c r="F115" s="170"/>
      <c r="G115" s="170"/>
      <c r="H115" s="170"/>
      <c r="O115" s="32"/>
    </row>
    <row r="116" spans="2:23" x14ac:dyDescent="0.25">
      <c r="B116" s="31"/>
      <c r="C116" s="81"/>
      <c r="D116" s="81"/>
      <c r="E116" s="81"/>
      <c r="F116" s="81"/>
      <c r="G116" s="81"/>
      <c r="H116" s="81"/>
      <c r="O116" s="32"/>
    </row>
    <row r="117" spans="2:23" x14ac:dyDescent="0.25">
      <c r="B117" s="31"/>
      <c r="C117" s="81"/>
      <c r="D117" s="81"/>
      <c r="E117" s="81"/>
      <c r="F117" s="81"/>
      <c r="G117" s="81"/>
      <c r="H117" s="81"/>
      <c r="O117" s="32"/>
    </row>
    <row r="118" spans="2:23" x14ac:dyDescent="0.25">
      <c r="B118" s="31"/>
      <c r="C118" s="81"/>
      <c r="D118" s="81"/>
      <c r="E118" s="81"/>
      <c r="F118" s="168" t="s">
        <v>97</v>
      </c>
      <c r="G118" s="168"/>
      <c r="H118" s="168"/>
      <c r="I118" s="168"/>
      <c r="J118" s="168"/>
      <c r="K118" s="168"/>
      <c r="O118" s="32"/>
    </row>
    <row r="119" spans="2:23" x14ac:dyDescent="0.25">
      <c r="B119" s="31"/>
      <c r="C119" s="81"/>
      <c r="D119" s="56"/>
      <c r="E119" s="56" t="s">
        <v>113</v>
      </c>
      <c r="F119" s="56" t="s">
        <v>114</v>
      </c>
      <c r="G119" s="56" t="s">
        <v>115</v>
      </c>
      <c r="H119" s="56" t="s">
        <v>116</v>
      </c>
      <c r="I119" s="56" t="s">
        <v>42</v>
      </c>
      <c r="J119" s="56" t="s">
        <v>117</v>
      </c>
      <c r="K119" s="56" t="s">
        <v>45</v>
      </c>
      <c r="L119" s="56" t="s">
        <v>46</v>
      </c>
      <c r="M119" s="56" t="s">
        <v>128</v>
      </c>
      <c r="O119" s="32"/>
    </row>
    <row r="120" spans="2:23" x14ac:dyDescent="0.25">
      <c r="B120" s="31"/>
      <c r="C120" s="81"/>
      <c r="D120" s="41" t="s">
        <v>86</v>
      </c>
      <c r="E120" s="80">
        <v>502</v>
      </c>
      <c r="F120" s="80">
        <v>114</v>
      </c>
      <c r="G120" s="80">
        <v>168.166666666667</v>
      </c>
      <c r="H120" s="80">
        <v>47.0833333333333</v>
      </c>
      <c r="I120" s="80">
        <v>234.5</v>
      </c>
      <c r="J120" s="80">
        <v>395.75</v>
      </c>
      <c r="K120" s="80">
        <v>509.41666666666703</v>
      </c>
      <c r="L120" s="80">
        <v>150.833333333333</v>
      </c>
      <c r="M120" s="80">
        <f>SUM(E120:L120)</f>
        <v>2121.75</v>
      </c>
      <c r="O120" s="32"/>
    </row>
    <row r="121" spans="2:23" x14ac:dyDescent="0.25">
      <c r="B121" s="31"/>
      <c r="C121" s="81"/>
      <c r="D121" s="41" t="s">
        <v>87</v>
      </c>
      <c r="E121" s="80">
        <v>530.66666666666708</v>
      </c>
      <c r="F121" s="80">
        <v>133.25</v>
      </c>
      <c r="G121" s="80">
        <v>182.666666666667</v>
      </c>
      <c r="H121" s="80">
        <v>51.1666666666667</v>
      </c>
      <c r="I121" s="80">
        <v>254.333333333333</v>
      </c>
      <c r="J121" s="80">
        <v>408.08333333333303</v>
      </c>
      <c r="K121" s="80">
        <v>553.5</v>
      </c>
      <c r="L121" s="80">
        <v>158.583333333333</v>
      </c>
      <c r="M121" s="80">
        <f t="shared" ref="M121:M130" si="36">SUM(E121:L121)</f>
        <v>2272.25</v>
      </c>
      <c r="O121" s="32"/>
    </row>
    <row r="122" spans="2:23" x14ac:dyDescent="0.25">
      <c r="B122" s="31"/>
      <c r="C122" s="81"/>
      <c r="D122" s="41" t="s">
        <v>88</v>
      </c>
      <c r="E122" s="80">
        <v>561.08333333333303</v>
      </c>
      <c r="F122" s="80">
        <v>164.916666666667</v>
      </c>
      <c r="G122" s="80">
        <v>206.5</v>
      </c>
      <c r="H122" s="80">
        <v>56.75</v>
      </c>
      <c r="I122" s="80">
        <v>273</v>
      </c>
      <c r="J122" s="80">
        <v>448.41666666666703</v>
      </c>
      <c r="K122" s="80">
        <v>638.41666666666708</v>
      </c>
      <c r="L122" s="80">
        <v>167.416666666667</v>
      </c>
      <c r="M122" s="80">
        <f t="shared" si="36"/>
        <v>2516.5000000000009</v>
      </c>
      <c r="O122" s="32"/>
    </row>
    <row r="123" spans="2:23" x14ac:dyDescent="0.25">
      <c r="B123" s="31"/>
      <c r="C123" s="81"/>
      <c r="D123" s="41" t="s">
        <v>89</v>
      </c>
      <c r="E123" s="80">
        <v>587.08333333333303</v>
      </c>
      <c r="F123" s="80">
        <v>175.083333333333</v>
      </c>
      <c r="G123" s="80">
        <v>215.416666666667</v>
      </c>
      <c r="H123" s="80">
        <v>58.75</v>
      </c>
      <c r="I123" s="80">
        <v>286</v>
      </c>
      <c r="J123" s="80">
        <v>494.66666666666703</v>
      </c>
      <c r="K123" s="80">
        <v>700.16666666666708</v>
      </c>
      <c r="L123" s="80">
        <v>182.333333333333</v>
      </c>
      <c r="M123" s="80">
        <f t="shared" si="36"/>
        <v>2699.5</v>
      </c>
      <c r="O123" s="32"/>
      <c r="R123" s="83"/>
      <c r="S123" s="144"/>
      <c r="T123" s="144"/>
      <c r="U123" s="144"/>
      <c r="V123" s="144"/>
      <c r="W123" s="144"/>
    </row>
    <row r="124" spans="2:23" x14ac:dyDescent="0.25">
      <c r="B124" s="31"/>
      <c r="C124" s="81"/>
      <c r="D124" s="41" t="s">
        <v>90</v>
      </c>
      <c r="E124" s="80">
        <v>626.91666666666708</v>
      </c>
      <c r="F124" s="80">
        <v>199.166666666667</v>
      </c>
      <c r="G124" s="80">
        <v>231.416666666667</v>
      </c>
      <c r="H124" s="80">
        <v>67.5833333333333</v>
      </c>
      <c r="I124" s="80">
        <v>303.66666666666703</v>
      </c>
      <c r="J124" s="80">
        <v>539.75</v>
      </c>
      <c r="K124" s="80">
        <v>742.08333333333303</v>
      </c>
      <c r="L124" s="80">
        <v>194.666666666667</v>
      </c>
      <c r="M124" s="80">
        <f t="shared" si="36"/>
        <v>2905.2500000000014</v>
      </c>
      <c r="O124" s="32"/>
      <c r="R124" s="83" t="s">
        <v>73</v>
      </c>
      <c r="S124" s="83" t="s">
        <v>74</v>
      </c>
      <c r="T124" s="83" t="s">
        <v>75</v>
      </c>
      <c r="U124" s="83" t="s">
        <v>76</v>
      </c>
      <c r="V124" s="83" t="s">
        <v>77</v>
      </c>
      <c r="W124" s="83"/>
    </row>
    <row r="125" spans="2:23" x14ac:dyDescent="0.25">
      <c r="B125" s="31"/>
      <c r="C125" s="81"/>
      <c r="D125" s="41" t="s">
        <v>91</v>
      </c>
      <c r="E125" s="80">
        <v>667</v>
      </c>
      <c r="F125" s="80">
        <v>249.833333333333</v>
      </c>
      <c r="G125" s="80">
        <v>254.75</v>
      </c>
      <c r="H125" s="80">
        <v>80.0833333333333</v>
      </c>
      <c r="I125" s="80">
        <v>328.91666666666703</v>
      </c>
      <c r="J125" s="80">
        <v>577.91666666666708</v>
      </c>
      <c r="K125" s="80">
        <v>799.75</v>
      </c>
      <c r="L125" s="80">
        <v>208.833333333333</v>
      </c>
      <c r="M125" s="80">
        <f t="shared" si="36"/>
        <v>3167.0833333333335</v>
      </c>
      <c r="O125" s="32"/>
      <c r="R125" s="83">
        <v>113</v>
      </c>
      <c r="S125" s="83">
        <v>332</v>
      </c>
      <c r="T125" s="83">
        <v>176</v>
      </c>
      <c r="U125" s="83">
        <v>4</v>
      </c>
      <c r="V125" s="83">
        <v>4</v>
      </c>
      <c r="W125" s="83"/>
    </row>
    <row r="126" spans="2:23" x14ac:dyDescent="0.25">
      <c r="B126" s="31"/>
      <c r="C126" s="81"/>
      <c r="D126" s="41" t="s">
        <v>92</v>
      </c>
      <c r="E126" s="80">
        <v>690.08333333333303</v>
      </c>
      <c r="F126" s="80">
        <v>350.83333333333303</v>
      </c>
      <c r="G126" s="80">
        <v>285.75</v>
      </c>
      <c r="H126" s="80">
        <v>104.583333333333</v>
      </c>
      <c r="I126" s="80">
        <v>372.83333333333303</v>
      </c>
      <c r="J126" s="80">
        <v>649</v>
      </c>
      <c r="K126" s="80">
        <v>862.91666666666708</v>
      </c>
      <c r="L126" s="80">
        <v>226.333333333333</v>
      </c>
      <c r="M126" s="80">
        <f t="shared" si="36"/>
        <v>3542.3333333333321</v>
      </c>
      <c r="O126" s="32"/>
      <c r="R126" s="83"/>
      <c r="S126" s="83"/>
      <c r="T126" s="83"/>
      <c r="U126" s="83"/>
      <c r="V126" s="83"/>
      <c r="W126" s="83"/>
    </row>
    <row r="127" spans="2:23" x14ac:dyDescent="0.25">
      <c r="B127" s="31"/>
      <c r="C127" s="81"/>
      <c r="D127" s="41" t="s">
        <v>93</v>
      </c>
      <c r="E127" s="80">
        <v>727.75</v>
      </c>
      <c r="F127" s="80">
        <v>447.41666666666703</v>
      </c>
      <c r="G127" s="80">
        <v>322.91666666666703</v>
      </c>
      <c r="H127" s="80">
        <v>123.666666666667</v>
      </c>
      <c r="I127" s="80">
        <v>417.75</v>
      </c>
      <c r="J127" s="80">
        <v>717.25</v>
      </c>
      <c r="K127" s="80">
        <v>938.25</v>
      </c>
      <c r="L127" s="80">
        <v>257</v>
      </c>
      <c r="M127" s="80">
        <f t="shared" si="36"/>
        <v>3952.0000000000009</v>
      </c>
      <c r="O127" s="32"/>
      <c r="R127" s="83"/>
      <c r="S127" s="83"/>
      <c r="T127" s="83"/>
      <c r="U127" s="83"/>
      <c r="V127" s="83"/>
      <c r="W127" s="83"/>
    </row>
    <row r="128" spans="2:23" x14ac:dyDescent="0.25">
      <c r="B128" s="31"/>
      <c r="C128" s="81"/>
      <c r="D128" s="41" t="s">
        <v>94</v>
      </c>
      <c r="E128" s="80">
        <v>769.58333333333303</v>
      </c>
      <c r="F128" s="80">
        <v>474.83333333333303</v>
      </c>
      <c r="G128" s="80">
        <v>369.5</v>
      </c>
      <c r="H128" s="80">
        <v>135.75</v>
      </c>
      <c r="I128" s="80">
        <v>473.58333333333303</v>
      </c>
      <c r="J128" s="80">
        <v>769.5</v>
      </c>
      <c r="K128" s="80">
        <v>1053.5833333333301</v>
      </c>
      <c r="L128" s="80">
        <v>283.25</v>
      </c>
      <c r="M128" s="80">
        <f t="shared" si="36"/>
        <v>4329.5833333333294</v>
      </c>
      <c r="O128" s="32"/>
    </row>
    <row r="129" spans="2:20" x14ac:dyDescent="0.25">
      <c r="B129" s="31"/>
      <c r="C129" s="81"/>
      <c r="D129" s="41" t="s">
        <v>95</v>
      </c>
      <c r="E129" s="80">
        <v>819.58333333333303</v>
      </c>
      <c r="F129" s="80">
        <v>504.66666666666703</v>
      </c>
      <c r="G129" s="80">
        <v>424.66666666666703</v>
      </c>
      <c r="H129" s="80">
        <v>148.833333333333</v>
      </c>
      <c r="I129" s="80">
        <v>508.83333333333303</v>
      </c>
      <c r="J129" s="80">
        <v>810.41666666666708</v>
      </c>
      <c r="K129" s="80">
        <v>1152.8333333333301</v>
      </c>
      <c r="L129" s="80">
        <v>304.75</v>
      </c>
      <c r="M129" s="80">
        <f t="shared" si="36"/>
        <v>4674.5833333333303</v>
      </c>
      <c r="O129" s="32"/>
    </row>
    <row r="130" spans="2:20" x14ac:dyDescent="0.25">
      <c r="B130" s="31"/>
      <c r="C130" s="81"/>
      <c r="D130" s="41" t="s">
        <v>96</v>
      </c>
      <c r="E130" s="80">
        <v>837</v>
      </c>
      <c r="F130" s="80">
        <v>557</v>
      </c>
      <c r="G130" s="80">
        <v>436</v>
      </c>
      <c r="H130" s="80">
        <v>157</v>
      </c>
      <c r="I130" s="80">
        <v>514</v>
      </c>
      <c r="J130" s="80">
        <v>829</v>
      </c>
      <c r="K130" s="80">
        <v>1180</v>
      </c>
      <c r="L130" s="80">
        <v>302</v>
      </c>
      <c r="M130" s="80">
        <f t="shared" si="36"/>
        <v>4812</v>
      </c>
      <c r="O130" s="32"/>
      <c r="R130" s="83" t="s">
        <v>150</v>
      </c>
      <c r="S130" s="90">
        <v>36179</v>
      </c>
      <c r="T130" s="89">
        <v>0.11187213199915892</v>
      </c>
    </row>
    <row r="131" spans="2:20" x14ac:dyDescent="0.25">
      <c r="B131" s="31"/>
      <c r="C131" s="81"/>
      <c r="D131" s="106"/>
      <c r="E131" s="107">
        <f t="shared" ref="E131:M131" si="37">+E130/$M130</f>
        <v>0.17394014962593515</v>
      </c>
      <c r="F131" s="107">
        <f t="shared" si="37"/>
        <v>0.1157522859517872</v>
      </c>
      <c r="G131" s="107">
        <f t="shared" si="37"/>
        <v>9.0606816292601824E-2</v>
      </c>
      <c r="H131" s="107">
        <f t="shared" si="37"/>
        <v>3.2626766417290107E-2</v>
      </c>
      <c r="I131" s="107">
        <f t="shared" si="37"/>
        <v>0.10681629260182876</v>
      </c>
      <c r="J131" s="107">
        <f t="shared" si="37"/>
        <v>0.17227763923524522</v>
      </c>
      <c r="K131" s="107">
        <f t="shared" si="37"/>
        <v>0.24522028262676643</v>
      </c>
      <c r="L131" s="107">
        <f t="shared" si="37"/>
        <v>6.2759767248545303E-2</v>
      </c>
      <c r="M131" s="107">
        <f t="shared" si="37"/>
        <v>1</v>
      </c>
      <c r="O131" s="32"/>
      <c r="R131" s="83" t="s">
        <v>20</v>
      </c>
      <c r="S131" s="90">
        <v>27623</v>
      </c>
      <c r="T131" s="89">
        <v>8.5415404024786951E-2</v>
      </c>
    </row>
    <row r="132" spans="2:20" x14ac:dyDescent="0.25">
      <c r="B132" s="31"/>
      <c r="D132" s="174" t="s">
        <v>129</v>
      </c>
      <c r="E132" s="174"/>
      <c r="F132" s="174"/>
      <c r="G132" s="174"/>
      <c r="H132" s="174"/>
      <c r="I132" s="174"/>
      <c r="J132" s="174"/>
      <c r="K132" s="174"/>
      <c r="L132" s="174"/>
      <c r="M132" s="174"/>
      <c r="N132" s="33"/>
      <c r="O132" s="32"/>
      <c r="R132" s="83" t="s">
        <v>21</v>
      </c>
      <c r="S132" s="90">
        <v>24670</v>
      </c>
      <c r="T132" s="89">
        <v>7.628418409627824E-2</v>
      </c>
    </row>
    <row r="133" spans="2:20" x14ac:dyDescent="0.25"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7"/>
      <c r="R133" s="83" t="s">
        <v>36</v>
      </c>
      <c r="S133" s="90">
        <v>20311</v>
      </c>
      <c r="T133" s="89">
        <v>6.2805353189278781E-2</v>
      </c>
    </row>
    <row r="134" spans="2:20" x14ac:dyDescent="0.25">
      <c r="B134" s="17"/>
      <c r="C134" s="16"/>
      <c r="R134" s="83" t="s">
        <v>22</v>
      </c>
      <c r="S134" s="90">
        <v>15293</v>
      </c>
      <c r="T134" s="89">
        <v>4.7288772897623968E-2</v>
      </c>
    </row>
    <row r="135" spans="2:20" x14ac:dyDescent="0.25">
      <c r="B135" s="17"/>
      <c r="C135" s="3"/>
      <c r="D135" s="3"/>
      <c r="E135" s="3"/>
      <c r="F135" s="3"/>
      <c r="G135" s="3"/>
      <c r="H135" s="3"/>
      <c r="R135" s="83" t="s">
        <v>151</v>
      </c>
      <c r="S135" s="90">
        <v>15237</v>
      </c>
      <c r="T135" s="89">
        <v>4.7115610582691189E-2</v>
      </c>
    </row>
    <row r="136" spans="2:20" x14ac:dyDescent="0.25">
      <c r="B136" s="40" t="s">
        <v>110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30"/>
      <c r="R136" s="83" t="s">
        <v>25</v>
      </c>
      <c r="S136" s="90">
        <v>14097</v>
      </c>
      <c r="T136" s="89">
        <v>4.3590520600131105E-2</v>
      </c>
    </row>
    <row r="137" spans="2:20" x14ac:dyDescent="0.25">
      <c r="B137" s="7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O137" s="32"/>
      <c r="R137" s="83" t="s">
        <v>44</v>
      </c>
      <c r="S137" s="90">
        <v>14094</v>
      </c>
      <c r="T137" s="89">
        <v>4.3581244047545424E-2</v>
      </c>
    </row>
    <row r="138" spans="2:20" x14ac:dyDescent="0.25">
      <c r="B138" s="93"/>
      <c r="C138" s="175" t="s">
        <v>111</v>
      </c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O138" s="94"/>
      <c r="R138" s="83" t="s">
        <v>152</v>
      </c>
      <c r="S138" s="90">
        <v>12290</v>
      </c>
      <c r="T138" s="89">
        <v>3.8002943759353855E-2</v>
      </c>
    </row>
    <row r="139" spans="2:20" x14ac:dyDescent="0.25">
      <c r="B139" s="93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O139" s="94"/>
      <c r="R139" s="83" t="s">
        <v>4</v>
      </c>
      <c r="S139" s="90">
        <f>SUM(S142:S151)</f>
        <v>143602</v>
      </c>
      <c r="T139" s="89">
        <f>SUM(T142:T151)</f>
        <v>0.44404383480315157</v>
      </c>
    </row>
    <row r="140" spans="2:20" ht="15" customHeight="1" x14ac:dyDescent="0.25">
      <c r="B140" s="93"/>
      <c r="C140" s="176" t="s">
        <v>104</v>
      </c>
      <c r="D140" s="176"/>
      <c r="E140" s="178" t="s">
        <v>95</v>
      </c>
      <c r="F140" s="178"/>
      <c r="G140" s="178"/>
      <c r="H140" s="178" t="s">
        <v>96</v>
      </c>
      <c r="I140" s="178"/>
      <c r="J140" s="178"/>
      <c r="K140" s="178" t="s">
        <v>105</v>
      </c>
      <c r="L140" s="178"/>
      <c r="M140" s="178"/>
      <c r="O140" s="94"/>
      <c r="R140" s="83"/>
      <c r="S140" s="83"/>
      <c r="T140" s="83"/>
    </row>
    <row r="141" spans="2:20" x14ac:dyDescent="0.25">
      <c r="B141" s="93"/>
      <c r="C141" s="177"/>
      <c r="D141" s="177"/>
      <c r="E141" s="132" t="s">
        <v>106</v>
      </c>
      <c r="F141" s="132" t="s">
        <v>107</v>
      </c>
      <c r="G141" s="132" t="s">
        <v>10</v>
      </c>
      <c r="H141" s="132" t="s">
        <v>106</v>
      </c>
      <c r="I141" s="132" t="s">
        <v>107</v>
      </c>
      <c r="J141" s="132" t="s">
        <v>10</v>
      </c>
      <c r="K141" s="132" t="s">
        <v>106</v>
      </c>
      <c r="L141" s="132" t="s">
        <v>107</v>
      </c>
      <c r="M141" s="132" t="s">
        <v>10</v>
      </c>
      <c r="O141" s="94"/>
      <c r="R141" s="83"/>
      <c r="S141" s="83"/>
      <c r="T141" s="83"/>
    </row>
    <row r="142" spans="2:20" x14ac:dyDescent="0.25">
      <c r="B142" s="93"/>
      <c r="C142" s="136" t="s">
        <v>136</v>
      </c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O142" s="94"/>
      <c r="R142" s="83" t="s">
        <v>121</v>
      </c>
      <c r="S142" s="83">
        <v>12063</v>
      </c>
      <c r="T142" s="83">
        <v>3.7301017947037066E-2</v>
      </c>
    </row>
    <row r="143" spans="2:20" x14ac:dyDescent="0.25">
      <c r="B143" s="93"/>
      <c r="C143" s="133" t="s">
        <v>137</v>
      </c>
      <c r="D143" s="102"/>
      <c r="E143" s="134">
        <v>84809</v>
      </c>
      <c r="F143" s="134">
        <v>7894</v>
      </c>
      <c r="G143" s="134">
        <v>92703</v>
      </c>
      <c r="H143" s="134">
        <v>72531</v>
      </c>
      <c r="I143" s="134">
        <v>6755</v>
      </c>
      <c r="J143" s="145">
        <v>79286</v>
      </c>
      <c r="K143" s="135">
        <f>+H143/E143-1</f>
        <v>-0.14477237085686656</v>
      </c>
      <c r="L143" s="135">
        <f t="shared" ref="L143:M144" si="38">+I143/F143-1</f>
        <v>-0.14428680010134276</v>
      </c>
      <c r="M143" s="149">
        <f t="shared" si="38"/>
        <v>-0.14473102272849858</v>
      </c>
      <c r="O143" s="94"/>
      <c r="R143" s="83" t="s">
        <v>127</v>
      </c>
      <c r="S143" s="83">
        <v>11985</v>
      </c>
      <c r="T143" s="83">
        <v>3.7059827579809274E-2</v>
      </c>
    </row>
    <row r="144" spans="2:20" x14ac:dyDescent="0.25">
      <c r="B144" s="93"/>
      <c r="C144" s="133" t="s">
        <v>138</v>
      </c>
      <c r="D144" s="102"/>
      <c r="E144" s="134">
        <v>194887</v>
      </c>
      <c r="F144" s="134">
        <v>66264</v>
      </c>
      <c r="G144" s="134">
        <v>261151</v>
      </c>
      <c r="H144" s="134">
        <v>197596</v>
      </c>
      <c r="I144" s="134">
        <v>85773</v>
      </c>
      <c r="J144" s="145">
        <v>283369</v>
      </c>
      <c r="K144" s="135">
        <f>+H144/E144-1</f>
        <v>1.3900362774325714E-2</v>
      </c>
      <c r="L144" s="135">
        <f t="shared" si="38"/>
        <v>0.29441325606664259</v>
      </c>
      <c r="M144" s="149">
        <f t="shared" si="38"/>
        <v>8.5077215863619049E-2</v>
      </c>
      <c r="O144" s="94"/>
      <c r="R144" s="83" t="s">
        <v>26</v>
      </c>
      <c r="S144" s="83">
        <v>10372</v>
      </c>
      <c r="T144" s="83">
        <v>3.2072134472906279E-2</v>
      </c>
    </row>
    <row r="145" spans="2:20" x14ac:dyDescent="0.25">
      <c r="B145" s="93"/>
      <c r="C145" s="136" t="s">
        <v>115</v>
      </c>
      <c r="D145" s="101"/>
      <c r="E145" s="104"/>
      <c r="F145" s="104"/>
      <c r="G145" s="104"/>
      <c r="H145" s="104"/>
      <c r="I145" s="104"/>
      <c r="J145" s="146"/>
      <c r="K145" s="136"/>
      <c r="L145" s="136"/>
      <c r="M145" s="150"/>
      <c r="O145" s="94"/>
      <c r="R145" s="83" t="s">
        <v>41</v>
      </c>
      <c r="S145" s="83">
        <v>8016</v>
      </c>
      <c r="T145" s="83">
        <v>2.4786948508948782E-2</v>
      </c>
    </row>
    <row r="146" spans="2:20" x14ac:dyDescent="0.25">
      <c r="B146" s="93"/>
      <c r="C146" s="133" t="s">
        <v>139</v>
      </c>
      <c r="D146" s="102"/>
      <c r="E146" s="134">
        <v>12568</v>
      </c>
      <c r="F146" s="134">
        <v>87</v>
      </c>
      <c r="G146" s="134">
        <v>12655</v>
      </c>
      <c r="H146" s="134">
        <v>12468</v>
      </c>
      <c r="I146" s="134">
        <v>0</v>
      </c>
      <c r="J146" s="145">
        <v>12468</v>
      </c>
      <c r="K146" s="135">
        <f>+H146/E146-1</f>
        <v>-7.9567154678549246E-3</v>
      </c>
      <c r="L146" s="135">
        <f t="shared" ref="L146:M149" si="39">+I146/F146-1</f>
        <v>-1</v>
      </c>
      <c r="M146" s="149">
        <f t="shared" si="39"/>
        <v>-1.477676807585937E-2</v>
      </c>
      <c r="O146" s="94"/>
      <c r="R146" s="83" t="s">
        <v>40</v>
      </c>
      <c r="S146" s="83">
        <v>7872</v>
      </c>
      <c r="T146" s="83">
        <v>2.4341673984835929E-2</v>
      </c>
    </row>
    <row r="147" spans="2:20" x14ac:dyDescent="0.25">
      <c r="B147" s="93"/>
      <c r="C147" s="133" t="s">
        <v>140</v>
      </c>
      <c r="D147" s="102"/>
      <c r="E147" s="134">
        <v>61049</v>
      </c>
      <c r="F147" s="134">
        <v>1975</v>
      </c>
      <c r="G147" s="134">
        <v>63024</v>
      </c>
      <c r="H147" s="134">
        <v>77755</v>
      </c>
      <c r="I147" s="134">
        <v>819</v>
      </c>
      <c r="J147" s="145">
        <v>78574</v>
      </c>
      <c r="K147" s="135">
        <f>+H147/E147-1</f>
        <v>0.27364903602024593</v>
      </c>
      <c r="L147" s="135">
        <f t="shared" si="39"/>
        <v>-0.5853164556962025</v>
      </c>
      <c r="M147" s="149">
        <f t="shared" si="39"/>
        <v>0.24673140390962178</v>
      </c>
      <c r="O147" s="94"/>
      <c r="R147" s="83" t="s">
        <v>132</v>
      </c>
      <c r="S147" s="83">
        <v>6843</v>
      </c>
      <c r="T147" s="83">
        <v>2.1159816447946171E-2</v>
      </c>
    </row>
    <row r="148" spans="2:20" x14ac:dyDescent="0.25">
      <c r="B148" s="93"/>
      <c r="C148" s="133" t="s">
        <v>141</v>
      </c>
      <c r="D148" s="102"/>
      <c r="E148" s="134">
        <v>16841</v>
      </c>
      <c r="F148" s="134">
        <v>332</v>
      </c>
      <c r="G148" s="134">
        <v>17173</v>
      </c>
      <c r="H148" s="134">
        <v>16297</v>
      </c>
      <c r="I148" s="134">
        <v>400</v>
      </c>
      <c r="J148" s="145">
        <v>16697</v>
      </c>
      <c r="K148" s="135">
        <f>+H148/E148-1</f>
        <v>-3.2302119826613573E-2</v>
      </c>
      <c r="L148" s="135">
        <f t="shared" ref="L148" si="40">+I148/F148-1</f>
        <v>0.20481927710843384</v>
      </c>
      <c r="M148" s="149">
        <f t="shared" ref="M148" si="41">+J148/G148-1</f>
        <v>-2.7717929307634059E-2</v>
      </c>
      <c r="O148" s="94"/>
      <c r="R148" s="83" t="s">
        <v>133</v>
      </c>
      <c r="S148" s="83">
        <v>6298</v>
      </c>
      <c r="T148" s="83">
        <v>1.9474576061546834E-2</v>
      </c>
    </row>
    <row r="149" spans="2:20" x14ac:dyDescent="0.25">
      <c r="B149" s="93"/>
      <c r="C149" s="133" t="s">
        <v>142</v>
      </c>
      <c r="D149" s="102"/>
      <c r="E149" s="134">
        <v>8713</v>
      </c>
      <c r="F149" s="134">
        <v>246</v>
      </c>
      <c r="G149" s="134">
        <v>8959</v>
      </c>
      <c r="H149" s="134">
        <v>7159</v>
      </c>
      <c r="I149" s="134">
        <v>255</v>
      </c>
      <c r="J149" s="145">
        <v>7414</v>
      </c>
      <c r="K149" s="135">
        <f>+H149/E149-1</f>
        <v>-0.1783541834041088</v>
      </c>
      <c r="L149" s="135">
        <f t="shared" si="39"/>
        <v>3.6585365853658569E-2</v>
      </c>
      <c r="M149" s="149">
        <f t="shared" si="39"/>
        <v>-0.17245228262082823</v>
      </c>
      <c r="O149" s="94"/>
      <c r="R149" s="83" t="s">
        <v>134</v>
      </c>
      <c r="S149" s="83">
        <v>6291</v>
      </c>
      <c r="T149" s="83">
        <v>1.9452930772180237E-2</v>
      </c>
    </row>
    <row r="150" spans="2:20" x14ac:dyDescent="0.25">
      <c r="B150" s="93"/>
      <c r="C150" s="136" t="s">
        <v>42</v>
      </c>
      <c r="D150" s="101"/>
      <c r="E150" s="101"/>
      <c r="F150" s="101"/>
      <c r="G150" s="101"/>
      <c r="H150" s="101"/>
      <c r="I150" s="101"/>
      <c r="J150" s="147"/>
      <c r="K150" s="136"/>
      <c r="L150" s="136"/>
      <c r="M150" s="150"/>
      <c r="O150" s="94"/>
      <c r="R150" s="83" t="s">
        <v>135</v>
      </c>
      <c r="S150" s="83">
        <v>6187</v>
      </c>
      <c r="T150" s="83">
        <v>1.9131343615876512E-2</v>
      </c>
    </row>
    <row r="151" spans="2:20" x14ac:dyDescent="0.25">
      <c r="B151" s="93"/>
      <c r="C151" s="133" t="s">
        <v>143</v>
      </c>
      <c r="D151" s="102"/>
      <c r="E151" s="134">
        <v>59960</v>
      </c>
      <c r="F151" s="134">
        <v>403</v>
      </c>
      <c r="G151" s="134">
        <v>60363</v>
      </c>
      <c r="H151" s="134">
        <v>65437</v>
      </c>
      <c r="I151" s="134">
        <v>212</v>
      </c>
      <c r="J151" s="145">
        <v>65649</v>
      </c>
      <c r="K151" s="135">
        <f>+H151/E151-1</f>
        <v>9.1344229486324258E-2</v>
      </c>
      <c r="L151" s="135">
        <f t="shared" ref="L151:L152" si="42">+I151/F151-1</f>
        <v>-0.47394540942928043</v>
      </c>
      <c r="M151" s="149">
        <f t="shared" ref="M151:M152" si="43">+J151/G151-1</f>
        <v>8.7570200288256128E-2</v>
      </c>
      <c r="O151" s="94"/>
      <c r="R151" s="83" t="s">
        <v>4</v>
      </c>
      <c r="S151" s="83">
        <v>67675</v>
      </c>
      <c r="T151" s="83">
        <v>0.20926356541206448</v>
      </c>
    </row>
    <row r="152" spans="2:20" x14ac:dyDescent="0.25">
      <c r="B152" s="93"/>
      <c r="C152" s="138" t="s">
        <v>144</v>
      </c>
      <c r="D152" s="105"/>
      <c r="E152" s="139">
        <v>88791</v>
      </c>
      <c r="F152" s="139">
        <v>1017</v>
      </c>
      <c r="G152" s="139">
        <v>89808</v>
      </c>
      <c r="H152" s="139">
        <v>90425</v>
      </c>
      <c r="I152" s="139">
        <v>958</v>
      </c>
      <c r="J152" s="148">
        <v>91383</v>
      </c>
      <c r="K152" s="137">
        <f>+H152/E152-1</f>
        <v>1.8402766046108354E-2</v>
      </c>
      <c r="L152" s="137">
        <f t="shared" si="42"/>
        <v>-5.8013765978367715E-2</v>
      </c>
      <c r="M152" s="151">
        <f t="shared" si="43"/>
        <v>1.7537413148049241E-2</v>
      </c>
      <c r="O152" s="94"/>
    </row>
    <row r="153" spans="2:20" x14ac:dyDescent="0.25">
      <c r="B153" s="93"/>
      <c r="C153" s="136" t="s">
        <v>117</v>
      </c>
      <c r="D153" s="101"/>
      <c r="E153" s="101"/>
      <c r="F153" s="101"/>
      <c r="G153" s="101"/>
      <c r="H153" s="101"/>
      <c r="I153" s="101"/>
      <c r="J153" s="147"/>
      <c r="K153" s="136"/>
      <c r="L153" s="136"/>
      <c r="M153" s="150"/>
      <c r="O153" s="94"/>
    </row>
    <row r="154" spans="2:20" x14ac:dyDescent="0.25">
      <c r="B154" s="93"/>
      <c r="C154" s="133" t="s">
        <v>145</v>
      </c>
      <c r="D154" s="102"/>
      <c r="E154" s="134">
        <v>44550</v>
      </c>
      <c r="F154" s="134">
        <v>43104</v>
      </c>
      <c r="G154" s="134">
        <v>87654</v>
      </c>
      <c r="H154" s="134">
        <v>34248</v>
      </c>
      <c r="I154" s="134">
        <v>33521</v>
      </c>
      <c r="J154" s="145">
        <v>67769</v>
      </c>
      <c r="K154" s="135">
        <f>+H154/E154-1</f>
        <v>-0.23124579124579125</v>
      </c>
      <c r="L154" s="135">
        <f t="shared" ref="L154:M154" si="44">+I154/F154-1</f>
        <v>-0.22232275426874537</v>
      </c>
      <c r="M154" s="149">
        <f t="shared" si="44"/>
        <v>-0.22685787300066174</v>
      </c>
      <c r="O154" s="94"/>
    </row>
    <row r="155" spans="2:20" x14ac:dyDescent="0.25">
      <c r="B155" s="93"/>
      <c r="C155" s="133" t="s">
        <v>146</v>
      </c>
      <c r="D155" s="102"/>
      <c r="E155" s="134">
        <v>249260</v>
      </c>
      <c r="F155" s="134">
        <v>78692</v>
      </c>
      <c r="G155" s="134">
        <v>327952</v>
      </c>
      <c r="H155" s="134">
        <v>276353</v>
      </c>
      <c r="I155" s="134">
        <v>77950</v>
      </c>
      <c r="J155" s="145">
        <v>354303</v>
      </c>
      <c r="K155" s="135">
        <f t="shared" ref="K155" si="45">+H155/E155-1</f>
        <v>0.10869373345101496</v>
      </c>
      <c r="L155" s="135">
        <f t="shared" ref="L155" si="46">+I155/F155-1</f>
        <v>-9.4291668784628468E-3</v>
      </c>
      <c r="M155" s="149">
        <f t="shared" ref="M155" si="47">+J155/G155-1</f>
        <v>8.0350173196077401E-2</v>
      </c>
      <c r="O155" s="94"/>
    </row>
    <row r="156" spans="2:20" x14ac:dyDescent="0.25">
      <c r="B156" s="93"/>
      <c r="C156" s="138" t="s">
        <v>147</v>
      </c>
      <c r="D156" s="105"/>
      <c r="E156" s="139">
        <v>32236</v>
      </c>
      <c r="F156" s="139">
        <v>10223</v>
      </c>
      <c r="G156" s="139">
        <v>42459</v>
      </c>
      <c r="H156" s="139">
        <v>42269</v>
      </c>
      <c r="I156" s="139">
        <v>20306</v>
      </c>
      <c r="J156" s="148">
        <v>62575</v>
      </c>
      <c r="K156" s="137">
        <f>+H156/E156-1</f>
        <v>0.31123588534557634</v>
      </c>
      <c r="L156" s="137">
        <f t="shared" ref="L156" si="48">+I156/F156-1</f>
        <v>0.98630538980729732</v>
      </c>
      <c r="M156" s="151">
        <f t="shared" ref="M156" si="49">+J156/G156-1</f>
        <v>0.47377470029911217</v>
      </c>
      <c r="O156" s="94"/>
    </row>
    <row r="157" spans="2:20" x14ac:dyDescent="0.25">
      <c r="B157" s="93"/>
      <c r="C157" s="140" t="s">
        <v>108</v>
      </c>
      <c r="E157" s="103"/>
      <c r="F157" s="103"/>
      <c r="G157" s="103"/>
      <c r="H157" s="103"/>
      <c r="I157" s="103"/>
      <c r="J157" s="103"/>
      <c r="K157" s="102"/>
      <c r="L157" s="102"/>
      <c r="M157" s="102"/>
      <c r="O157" s="94"/>
    </row>
    <row r="158" spans="2:20" x14ac:dyDescent="0.25">
      <c r="B158" s="93"/>
      <c r="C158" s="133" t="s">
        <v>109</v>
      </c>
      <c r="E158" s="103"/>
      <c r="F158" s="103"/>
      <c r="G158" s="103"/>
      <c r="H158" s="103"/>
      <c r="I158" s="103"/>
      <c r="J158" s="103"/>
      <c r="K158" s="102"/>
      <c r="L158" s="102"/>
      <c r="M158" s="102"/>
      <c r="O158" s="94"/>
    </row>
    <row r="159" spans="2:20" x14ac:dyDescent="0.25">
      <c r="B159" s="93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O159" s="94"/>
    </row>
    <row r="160" spans="2:20" x14ac:dyDescent="0.25">
      <c r="B160" s="93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O160" s="94"/>
    </row>
    <row r="161" spans="2:15" x14ac:dyDescent="0.25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7"/>
    </row>
  </sheetData>
  <sortState ref="D37:N44">
    <sortCondition descending="1" ref="G37:G44"/>
  </sortState>
  <mergeCells count="29">
    <mergeCell ref="D132:M132"/>
    <mergeCell ref="C138:M138"/>
    <mergeCell ref="C140:C141"/>
    <mergeCell ref="D140:D141"/>
    <mergeCell ref="E140:G140"/>
    <mergeCell ref="H140:J140"/>
    <mergeCell ref="K140:M140"/>
    <mergeCell ref="F118:K118"/>
    <mergeCell ref="C104:H104"/>
    <mergeCell ref="C115:H115"/>
    <mergeCell ref="D56:H57"/>
    <mergeCell ref="E86:K86"/>
    <mergeCell ref="E97:K98"/>
    <mergeCell ref="D80:L80"/>
    <mergeCell ref="B1:O2"/>
    <mergeCell ref="C7:N8"/>
    <mergeCell ref="F10:L10"/>
    <mergeCell ref="F27:L27"/>
    <mergeCell ref="F31:L31"/>
    <mergeCell ref="C52:N54"/>
    <mergeCell ref="C26:D30"/>
    <mergeCell ref="M23:N25"/>
    <mergeCell ref="J56:M57"/>
    <mergeCell ref="J34:N34"/>
    <mergeCell ref="J35:N35"/>
    <mergeCell ref="J46:N46"/>
    <mergeCell ref="C35:H35"/>
    <mergeCell ref="C34:H34"/>
    <mergeCell ref="C46:H4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81"/>
  <sheetViews>
    <sheetView zoomScaleNormal="100" zoomScalePageLayoutView="40" workbookViewId="0">
      <selection activeCell="A6" sqref="A6"/>
    </sheetView>
  </sheetViews>
  <sheetFormatPr baseColWidth="10" defaultColWidth="0" defaultRowHeight="15" x14ac:dyDescent="0.25"/>
  <cols>
    <col min="1" max="1" width="11.7109375" style="21" customWidth="1"/>
    <col min="2" max="15" width="11.7109375" style="28" customWidth="1"/>
    <col min="16" max="16" width="11.7109375" style="21" customWidth="1"/>
    <col min="17" max="16384" width="11.42578125" style="21" hidden="1"/>
  </cols>
  <sheetData>
    <row r="1" spans="1:16" ht="15" customHeight="1" x14ac:dyDescent="0.25">
      <c r="B1" s="184" t="s">
        <v>155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1"/>
    </row>
    <row r="2" spans="1:16" ht="1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1"/>
    </row>
    <row r="3" spans="1:16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  <c r="P3" s="24"/>
    </row>
    <row r="4" spans="1:16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  <c r="P4" s="24"/>
    </row>
    <row r="5" spans="1:16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25">
      <c r="B6" s="40" t="s">
        <v>101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6" x14ac:dyDescent="0.25">
      <c r="B7" s="31"/>
      <c r="C7" s="156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708,755.0 arribos de turistas nacionales y extranjeros, mientras que el 2017 los  arribos de turistas extranjeros y nacionales sumaron 1,132,509.0, representando un  crecimiento promedio anual de 4.8%   en el periodo 2006 – 2016.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32"/>
    </row>
    <row r="8" spans="1:16" x14ac:dyDescent="0.25">
      <c r="B8" s="31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32"/>
    </row>
    <row r="9" spans="1:16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1:16" x14ac:dyDescent="0.25">
      <c r="B10" s="31"/>
      <c r="C10" s="33"/>
      <c r="D10" s="33"/>
      <c r="E10" s="33"/>
      <c r="F10" s="165" t="s">
        <v>102</v>
      </c>
      <c r="G10" s="165"/>
      <c r="H10" s="165"/>
      <c r="I10" s="165"/>
      <c r="J10" s="165"/>
      <c r="K10" s="165"/>
      <c r="L10" s="165"/>
      <c r="M10" s="33"/>
      <c r="N10" s="33"/>
      <c r="O10" s="32"/>
    </row>
    <row r="11" spans="1:16" x14ac:dyDescent="0.25">
      <c r="B11" s="31"/>
      <c r="C11" s="33"/>
      <c r="D11" s="33"/>
      <c r="E11" s="33"/>
      <c r="F11" s="18" t="s">
        <v>6</v>
      </c>
      <c r="G11" s="19" t="s">
        <v>7</v>
      </c>
      <c r="H11" s="18" t="s">
        <v>8</v>
      </c>
      <c r="I11" s="19" t="s">
        <v>9</v>
      </c>
      <c r="J11" s="18" t="s">
        <v>8</v>
      </c>
      <c r="K11" s="18" t="s">
        <v>10</v>
      </c>
      <c r="L11" s="18" t="s">
        <v>8</v>
      </c>
      <c r="M11" s="33"/>
      <c r="N11" s="33"/>
      <c r="O11" s="32"/>
    </row>
    <row r="12" spans="1:16" x14ac:dyDescent="0.25">
      <c r="B12" s="31"/>
      <c r="C12" s="33"/>
      <c r="D12" s="33"/>
      <c r="E12" s="33"/>
      <c r="F12" s="41">
        <v>2003</v>
      </c>
      <c r="G12" s="25">
        <v>355218</v>
      </c>
      <c r="H12" s="42"/>
      <c r="I12" s="25">
        <v>23153</v>
      </c>
      <c r="J12" s="42"/>
      <c r="K12" s="25">
        <f>+I12+G12</f>
        <v>378371</v>
      </c>
      <c r="L12" s="42"/>
      <c r="M12" s="33"/>
      <c r="N12" s="33"/>
      <c r="O12" s="32"/>
    </row>
    <row r="13" spans="1:16" x14ac:dyDescent="0.25">
      <c r="B13" s="31"/>
      <c r="C13" s="33"/>
      <c r="D13" s="33"/>
      <c r="E13" s="33"/>
      <c r="F13" s="41">
        <v>2004</v>
      </c>
      <c r="G13" s="25">
        <v>387159</v>
      </c>
      <c r="H13" s="43">
        <f>+G13/G12-1</f>
        <v>8.991942975862699E-2</v>
      </c>
      <c r="I13" s="25">
        <v>26772</v>
      </c>
      <c r="J13" s="43">
        <f>+I13/I12-1</f>
        <v>0.1563080378352697</v>
      </c>
      <c r="K13" s="25">
        <f>+I13+G13</f>
        <v>413931</v>
      </c>
      <c r="L13" s="43">
        <f>+K13/K12-1</f>
        <v>9.3981832645736674E-2</v>
      </c>
      <c r="M13" s="33"/>
      <c r="N13" s="33"/>
      <c r="O13" s="32"/>
    </row>
    <row r="14" spans="1:16" x14ac:dyDescent="0.25">
      <c r="B14" s="31"/>
      <c r="C14" s="33"/>
      <c r="D14" s="33"/>
      <c r="E14" s="33"/>
      <c r="F14" s="41">
        <v>2005</v>
      </c>
      <c r="G14" s="25">
        <v>458782</v>
      </c>
      <c r="H14" s="43">
        <f t="shared" ref="H14:J26" si="0">+G14/G13-1</f>
        <v>0.18499634517084718</v>
      </c>
      <c r="I14" s="25">
        <v>31563</v>
      </c>
      <c r="J14" s="43">
        <f t="shared" si="0"/>
        <v>0.17895562528014342</v>
      </c>
      <c r="K14" s="25">
        <f t="shared" ref="K14:K26" si="1">+I14+G14</f>
        <v>490345</v>
      </c>
      <c r="L14" s="43">
        <f t="shared" ref="L14" si="2">+K14/K13-1</f>
        <v>0.18460564683485892</v>
      </c>
      <c r="M14" s="33"/>
      <c r="N14" s="33"/>
      <c r="O14" s="32"/>
    </row>
    <row r="15" spans="1:16" x14ac:dyDescent="0.25">
      <c r="B15" s="31"/>
      <c r="C15" s="33"/>
      <c r="D15" s="33"/>
      <c r="E15" s="33"/>
      <c r="F15" s="41">
        <v>2006</v>
      </c>
      <c r="G15" s="25">
        <v>589664</v>
      </c>
      <c r="H15" s="43">
        <f t="shared" si="0"/>
        <v>0.28528146265546606</v>
      </c>
      <c r="I15" s="25">
        <v>24209</v>
      </c>
      <c r="J15" s="43">
        <f t="shared" si="0"/>
        <v>-0.23299432880271198</v>
      </c>
      <c r="K15" s="25">
        <f t="shared" si="1"/>
        <v>613873</v>
      </c>
      <c r="L15" s="43">
        <f t="shared" ref="L15" si="3">+K15/K14-1</f>
        <v>0.25192058652581339</v>
      </c>
      <c r="M15" s="33"/>
      <c r="N15" s="33"/>
      <c r="O15" s="32"/>
    </row>
    <row r="16" spans="1:16" x14ac:dyDescent="0.25">
      <c r="B16" s="31"/>
      <c r="C16" s="33"/>
      <c r="D16" s="33"/>
      <c r="E16" s="33"/>
      <c r="F16" s="41">
        <v>2007</v>
      </c>
      <c r="G16" s="25">
        <v>674095</v>
      </c>
      <c r="H16" s="43">
        <f t="shared" si="0"/>
        <v>0.1431849324360992</v>
      </c>
      <c r="I16" s="25">
        <v>34660</v>
      </c>
      <c r="J16" s="43">
        <f t="shared" si="0"/>
        <v>0.43169895493411548</v>
      </c>
      <c r="K16" s="25">
        <f t="shared" si="1"/>
        <v>708755</v>
      </c>
      <c r="L16" s="43">
        <f t="shared" ref="L16" si="4">+K16/K15-1</f>
        <v>0.15456291447905346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794116</v>
      </c>
      <c r="H17" s="43">
        <f t="shared" si="0"/>
        <v>0.1780476045661219</v>
      </c>
      <c r="I17" s="25">
        <v>24674</v>
      </c>
      <c r="J17" s="43">
        <f t="shared" si="0"/>
        <v>-0.28811309867282164</v>
      </c>
      <c r="K17" s="25">
        <f t="shared" si="1"/>
        <v>818790</v>
      </c>
      <c r="L17" s="43">
        <f t="shared" ref="L17" si="5">+K17/K16-1</f>
        <v>0.15525110933961672</v>
      </c>
      <c r="M17" s="33"/>
      <c r="N17" s="33"/>
      <c r="O17" s="32"/>
    </row>
    <row r="18" spans="2:15" x14ac:dyDescent="0.25">
      <c r="B18" s="31"/>
      <c r="C18" s="33"/>
      <c r="D18" s="33"/>
      <c r="E18" s="33"/>
      <c r="F18" s="41">
        <v>2009</v>
      </c>
      <c r="G18" s="25">
        <v>794308</v>
      </c>
      <c r="H18" s="43">
        <f t="shared" si="0"/>
        <v>2.4177827924387607E-4</v>
      </c>
      <c r="I18" s="25">
        <v>23428</v>
      </c>
      <c r="J18" s="43">
        <f t="shared" si="0"/>
        <v>-5.0498500445813388E-2</v>
      </c>
      <c r="K18" s="25">
        <f t="shared" si="1"/>
        <v>817736</v>
      </c>
      <c r="L18" s="43">
        <f t="shared" ref="L18" si="6">+K18/K17-1</f>
        <v>-1.2872653549750313E-3</v>
      </c>
      <c r="M18" s="181" t="s">
        <v>11</v>
      </c>
      <c r="N18" s="182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898811</v>
      </c>
      <c r="H19" s="43">
        <f t="shared" si="0"/>
        <v>0.13156483379243311</v>
      </c>
      <c r="I19" s="25">
        <v>32333</v>
      </c>
      <c r="J19" s="43">
        <f t="shared" si="0"/>
        <v>0.38010073416424794</v>
      </c>
      <c r="K19" s="25">
        <f t="shared" si="1"/>
        <v>931144</v>
      </c>
      <c r="L19" s="43">
        <f t="shared" ref="L19" si="7">+K19/K18-1</f>
        <v>0.13868534588180048</v>
      </c>
      <c r="M19" s="181"/>
      <c r="N19" s="182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895761</v>
      </c>
      <c r="H20" s="43">
        <f t="shared" si="0"/>
        <v>-3.3933719102235971E-3</v>
      </c>
      <c r="I20" s="25">
        <v>32116</v>
      </c>
      <c r="J20" s="43">
        <f t="shared" si="0"/>
        <v>-6.7114093959731447E-3</v>
      </c>
      <c r="K20" s="25">
        <f t="shared" si="1"/>
        <v>927877</v>
      </c>
      <c r="L20" s="43">
        <f t="shared" ref="L20" si="8">+K20/K19-1</f>
        <v>-3.5085872861769785E-3</v>
      </c>
      <c r="M20" s="181"/>
      <c r="N20" s="182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968561</v>
      </c>
      <c r="H21" s="43">
        <f t="shared" si="0"/>
        <v>8.1271678494598376E-2</v>
      </c>
      <c r="I21" s="25">
        <v>32964</v>
      </c>
      <c r="J21" s="43">
        <f t="shared" si="0"/>
        <v>2.640428446880061E-2</v>
      </c>
      <c r="K21" s="25">
        <f t="shared" si="1"/>
        <v>1001525</v>
      </c>
      <c r="L21" s="43">
        <f t="shared" ref="L21" si="9">+K21/K20-1</f>
        <v>7.9372589254825821E-2</v>
      </c>
      <c r="M21" s="181"/>
      <c r="N21" s="182"/>
      <c r="O21" s="32"/>
    </row>
    <row r="22" spans="2:15" x14ac:dyDescent="0.25">
      <c r="B22" s="31"/>
      <c r="C22" s="33"/>
      <c r="D22" s="33"/>
      <c r="E22" s="33"/>
      <c r="F22" s="41">
        <v>2013</v>
      </c>
      <c r="G22" s="25">
        <v>935587</v>
      </c>
      <c r="H22" s="43">
        <f t="shared" si="0"/>
        <v>-3.404431935624086E-2</v>
      </c>
      <c r="I22" s="25">
        <v>22876</v>
      </c>
      <c r="J22" s="43">
        <f t="shared" si="0"/>
        <v>-0.30603082150224492</v>
      </c>
      <c r="K22" s="25">
        <f t="shared" si="1"/>
        <v>958463</v>
      </c>
      <c r="L22" s="43">
        <f t="shared" ref="L22" si="10">+K22/K21-1</f>
        <v>-4.2996430443573597E-2</v>
      </c>
      <c r="M22" s="181"/>
      <c r="N22" s="182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1088998</v>
      </c>
      <c r="H23" s="43">
        <f t="shared" si="0"/>
        <v>0.16397299235667018</v>
      </c>
      <c r="I23" s="25">
        <v>21834</v>
      </c>
      <c r="J23" s="43">
        <f t="shared" si="0"/>
        <v>-4.5549921314915198E-2</v>
      </c>
      <c r="K23" s="25">
        <f t="shared" si="1"/>
        <v>1110832</v>
      </c>
      <c r="L23" s="43">
        <f t="shared" ref="L23" si="11">+K23/K22-1</f>
        <v>0.15897222949660028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984687</v>
      </c>
      <c r="H24" s="43">
        <f t="shared" si="0"/>
        <v>-9.5786218156507119E-2</v>
      </c>
      <c r="I24" s="25">
        <v>36388</v>
      </c>
      <c r="J24" s="43">
        <f t="shared" si="0"/>
        <v>0.66657506641018593</v>
      </c>
      <c r="K24" s="25">
        <f t="shared" si="1"/>
        <v>1021075</v>
      </c>
      <c r="L24" s="43">
        <f t="shared" ref="L24" si="12">+K24/K23-1</f>
        <v>-8.0801597361257138E-2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983984</v>
      </c>
      <c r="H25" s="43">
        <f t="shared" si="0"/>
        <v>-7.1393244756967622E-4</v>
      </c>
      <c r="I25" s="25">
        <v>36125</v>
      </c>
      <c r="J25" s="43">
        <f t="shared" si="0"/>
        <v>-7.2276574694953855E-3</v>
      </c>
      <c r="K25" s="25">
        <f t="shared" si="1"/>
        <v>1020109</v>
      </c>
      <c r="L25" s="43">
        <f t="shared" ref="L25" si="13">+K25/K24-1</f>
        <v>-9.4606174864730885E-4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1087796</v>
      </c>
      <c r="H26" s="43">
        <f t="shared" si="0"/>
        <v>0.10550171547504839</v>
      </c>
      <c r="I26" s="25">
        <v>44713</v>
      </c>
      <c r="J26" s="43">
        <f t="shared" si="0"/>
        <v>0.23773010380622828</v>
      </c>
      <c r="K26" s="25">
        <f t="shared" si="1"/>
        <v>1132509</v>
      </c>
      <c r="L26" s="43">
        <f t="shared" ref="L26" si="14">+K26/K25-1</f>
        <v>0.11018430383419808</v>
      </c>
      <c r="M26" s="45">
        <f>+(K26/K16)^(1/10)-1</f>
        <v>4.7983759863647668E-2</v>
      </c>
      <c r="N26" s="33"/>
      <c r="O26" s="32"/>
    </row>
    <row r="27" spans="2:15" x14ac:dyDescent="0.25">
      <c r="B27" s="31"/>
      <c r="C27" s="180" t="s">
        <v>12</v>
      </c>
      <c r="D27" s="180"/>
      <c r="E27" s="33"/>
      <c r="F27" s="166" t="s">
        <v>13</v>
      </c>
      <c r="G27" s="166"/>
      <c r="H27" s="166"/>
      <c r="I27" s="166"/>
      <c r="J27" s="166"/>
      <c r="K27" s="166"/>
      <c r="L27" s="166"/>
      <c r="M27" s="33"/>
      <c r="N27" s="33"/>
      <c r="O27" s="32"/>
    </row>
    <row r="28" spans="2:15" x14ac:dyDescent="0.25">
      <c r="B28" s="31"/>
      <c r="C28" s="180"/>
      <c r="D28" s="180"/>
      <c r="E28" s="33"/>
      <c r="F28" s="44">
        <v>2007</v>
      </c>
      <c r="G28" s="26">
        <f>+G16/K16</f>
        <v>0.95109734675593116</v>
      </c>
      <c r="H28" s="27"/>
      <c r="I28" s="26">
        <f>+I16/K16</f>
        <v>4.8902653244068825E-2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0"/>
      <c r="D29" s="180"/>
      <c r="E29" s="33"/>
      <c r="F29" s="44">
        <v>2012</v>
      </c>
      <c r="G29" s="26">
        <f>+G21/K21</f>
        <v>0.96708619355482883</v>
      </c>
      <c r="H29" s="27"/>
      <c r="I29" s="26">
        <f>+I21/K21</f>
        <v>3.2913806445171112E-2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0"/>
      <c r="D30" s="180"/>
      <c r="E30" s="33"/>
      <c r="F30" s="44">
        <v>2017</v>
      </c>
      <c r="G30" s="26">
        <f>+G26/K26</f>
        <v>0.96051863605498944</v>
      </c>
      <c r="H30" s="27"/>
      <c r="I30" s="26">
        <f>+I26/K26</f>
        <v>3.9481363945010589E-2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67" t="s">
        <v>14</v>
      </c>
      <c r="G31" s="167"/>
      <c r="H31" s="167"/>
      <c r="I31" s="167"/>
      <c r="J31" s="167"/>
      <c r="K31" s="167"/>
      <c r="L31" s="167"/>
      <c r="M31" s="33"/>
      <c r="N31" s="33"/>
      <c r="O31" s="32"/>
    </row>
    <row r="32" spans="2:15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</row>
    <row r="35" spans="2:15" x14ac:dyDescent="0.25">
      <c r="B35" s="40" t="s">
        <v>103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56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241,109 arribos en esta región (equivalente al 48.0% de este total), La Libertad con 80,214 arribos (16.0%)  y Lima Provincias con 67,657 arribos (13.5 %). En tanto  Republica Popular China es el principal lugar de procedencia de los huespedes del exterior con 6,821  arribos (equivalente al 15.3 % de los arribos del exterior), le sigue Estados Unidos (Usa)  con  6,003  arribos (13.4 %) y Otro Pais De Europa con 3,884 (8.7 %) entre las principales.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32"/>
    </row>
    <row r="37" spans="2:15" x14ac:dyDescent="0.25">
      <c r="B37" s="31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32"/>
    </row>
    <row r="38" spans="2:15" x14ac:dyDescent="0.25">
      <c r="B38" s="31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D40" s="171" t="s">
        <v>29</v>
      </c>
      <c r="E40" s="171"/>
      <c r="F40" s="171"/>
      <c r="G40" s="171"/>
      <c r="H40" s="171"/>
      <c r="I40" s="33"/>
      <c r="J40" s="160" t="s">
        <v>53</v>
      </c>
      <c r="K40" s="160"/>
      <c r="L40" s="160"/>
      <c r="M40" s="160"/>
      <c r="N40" s="33"/>
      <c r="O40" s="32"/>
    </row>
    <row r="41" spans="2:15" x14ac:dyDescent="0.25">
      <c r="B41" s="31"/>
      <c r="D41" s="171"/>
      <c r="E41" s="171"/>
      <c r="F41" s="171"/>
      <c r="G41" s="171"/>
      <c r="H41" s="171"/>
      <c r="I41" s="33"/>
      <c r="J41" s="160"/>
      <c r="K41" s="160"/>
      <c r="L41" s="160"/>
      <c r="M41" s="160"/>
      <c r="N41" s="33"/>
      <c r="O41" s="32"/>
    </row>
    <row r="42" spans="2:15" x14ac:dyDescent="0.25">
      <c r="B42" s="31"/>
      <c r="C42" s="60"/>
      <c r="D42" s="20" t="s">
        <v>5</v>
      </c>
      <c r="E42" s="20" t="s">
        <v>15</v>
      </c>
      <c r="F42" s="20" t="s">
        <v>16</v>
      </c>
      <c r="G42" s="20" t="s">
        <v>17</v>
      </c>
      <c r="H42" s="20" t="s">
        <v>33</v>
      </c>
      <c r="I42" s="100"/>
      <c r="J42" s="20" t="s">
        <v>18</v>
      </c>
      <c r="K42" s="20" t="s">
        <v>15</v>
      </c>
      <c r="L42" s="20" t="s">
        <v>17</v>
      </c>
      <c r="M42" s="20" t="s">
        <v>33</v>
      </c>
      <c r="N42" s="33"/>
      <c r="O42" s="32"/>
    </row>
    <row r="43" spans="2:15" x14ac:dyDescent="0.25">
      <c r="B43" s="31"/>
      <c r="D43" s="22" t="s">
        <v>27</v>
      </c>
      <c r="E43" s="47">
        <v>241109</v>
      </c>
      <c r="F43" s="50">
        <f t="shared" ref="F43:F51" si="15">+E43/E$51</f>
        <v>0.48017533412861685</v>
      </c>
      <c r="G43" s="50">
        <f t="shared" ref="G43:G50" si="16">+E43/E$54</f>
        <v>0.2216490959702003</v>
      </c>
      <c r="H43" s="52">
        <v>1.4283333333333335</v>
      </c>
      <c r="I43" s="33"/>
      <c r="J43" s="22" t="s">
        <v>120</v>
      </c>
      <c r="K43" s="47">
        <v>6821</v>
      </c>
      <c r="L43" s="50">
        <f t="shared" ref="L43:L54" si="17">+K43/K$54</f>
        <v>0.15255071232080156</v>
      </c>
      <c r="M43" s="52">
        <v>1.0408333333333333</v>
      </c>
      <c r="N43" s="33"/>
      <c r="O43" s="32"/>
    </row>
    <row r="44" spans="2:15" x14ac:dyDescent="0.25">
      <c r="B44" s="31"/>
      <c r="D44" s="22" t="s">
        <v>23</v>
      </c>
      <c r="E44" s="47">
        <v>80214</v>
      </c>
      <c r="F44" s="50">
        <f t="shared" si="15"/>
        <v>0.1597484301780227</v>
      </c>
      <c r="G44" s="50">
        <f t="shared" si="16"/>
        <v>7.3739929177897331E-2</v>
      </c>
      <c r="H44" s="52">
        <v>1.1866666666666668</v>
      </c>
      <c r="I44" s="33"/>
      <c r="J44" s="22" t="s">
        <v>35</v>
      </c>
      <c r="K44" s="47">
        <v>6003</v>
      </c>
      <c r="L44" s="50">
        <f t="shared" si="17"/>
        <v>0.13425625656967771</v>
      </c>
      <c r="M44" s="52">
        <v>1.6424999999999998</v>
      </c>
      <c r="N44" s="33"/>
      <c r="O44" s="32"/>
    </row>
    <row r="45" spans="2:15" x14ac:dyDescent="0.25">
      <c r="B45" s="31"/>
      <c r="D45" s="22" t="s">
        <v>28</v>
      </c>
      <c r="E45" s="47">
        <v>67657</v>
      </c>
      <c r="F45" s="50">
        <f t="shared" si="15"/>
        <v>0.13474081258327075</v>
      </c>
      <c r="G45" s="50">
        <f t="shared" si="16"/>
        <v>6.2196404472897489E-2</v>
      </c>
      <c r="H45" s="52">
        <v>1.3108333333333333</v>
      </c>
      <c r="I45" s="33"/>
      <c r="J45" s="22" t="s">
        <v>38</v>
      </c>
      <c r="K45" s="47">
        <v>3884</v>
      </c>
      <c r="L45" s="50">
        <f t="shared" si="17"/>
        <v>8.6865117527341038E-2</v>
      </c>
      <c r="M45" s="52">
        <v>1.7558333333333336</v>
      </c>
      <c r="N45" s="33"/>
      <c r="O45" s="32"/>
    </row>
    <row r="46" spans="2:15" x14ac:dyDescent="0.25">
      <c r="B46" s="31"/>
      <c r="D46" s="22" t="s">
        <v>24</v>
      </c>
      <c r="E46" s="47">
        <v>30968</v>
      </c>
      <c r="F46" s="50">
        <f t="shared" si="15"/>
        <v>6.1673640334019085E-2</v>
      </c>
      <c r="G46" s="50">
        <f t="shared" si="16"/>
        <v>2.8468573151583569E-2</v>
      </c>
      <c r="H46" s="52">
        <v>1.1591666666666667</v>
      </c>
      <c r="I46" s="33"/>
      <c r="J46" s="22" t="s">
        <v>20</v>
      </c>
      <c r="K46" s="47">
        <v>3594</v>
      </c>
      <c r="L46" s="50">
        <f t="shared" si="17"/>
        <v>8.0379308031221341E-2</v>
      </c>
      <c r="M46" s="52">
        <v>1.5349999999999999</v>
      </c>
      <c r="N46" s="33"/>
      <c r="O46" s="32"/>
    </row>
    <row r="47" spans="2:15" x14ac:dyDescent="0.25">
      <c r="B47" s="31"/>
      <c r="D47" s="22" t="s">
        <v>19</v>
      </c>
      <c r="E47" s="47">
        <v>20836</v>
      </c>
      <c r="F47" s="50">
        <f t="shared" si="15"/>
        <v>4.1495478235585817E-2</v>
      </c>
      <c r="G47" s="50">
        <f t="shared" si="16"/>
        <v>1.9154326730379593E-2</v>
      </c>
      <c r="H47" s="52">
        <v>1.1700000000000002</v>
      </c>
      <c r="I47" s="33"/>
      <c r="J47" s="22" t="s">
        <v>21</v>
      </c>
      <c r="K47" s="47">
        <v>3279</v>
      </c>
      <c r="L47" s="50">
        <f t="shared" si="17"/>
        <v>7.3334377026815473E-2</v>
      </c>
      <c r="M47" s="52">
        <v>1.8766666666666667</v>
      </c>
      <c r="N47" s="33"/>
      <c r="O47" s="32"/>
    </row>
    <row r="48" spans="2:15" x14ac:dyDescent="0.25">
      <c r="B48" s="31"/>
      <c r="D48" s="22" t="s">
        <v>122</v>
      </c>
      <c r="E48" s="47">
        <v>8666</v>
      </c>
      <c r="F48" s="50">
        <f t="shared" si="15"/>
        <v>1.725858199220516E-2</v>
      </c>
      <c r="G48" s="50">
        <f t="shared" si="16"/>
        <v>7.9665672607731591E-3</v>
      </c>
      <c r="H48" s="52">
        <v>1.156666666666667</v>
      </c>
      <c r="I48" s="33"/>
      <c r="J48" s="22" t="s">
        <v>25</v>
      </c>
      <c r="K48" s="47">
        <v>2782</v>
      </c>
      <c r="L48" s="50">
        <f t="shared" si="17"/>
        <v>6.2219041442086197E-2</v>
      </c>
      <c r="M48" s="52">
        <v>1.5974999999999999</v>
      </c>
      <c r="N48" s="33"/>
      <c r="O48" s="32"/>
    </row>
    <row r="49" spans="2:15" x14ac:dyDescent="0.25">
      <c r="B49" s="31"/>
      <c r="D49" s="22" t="s">
        <v>1</v>
      </c>
      <c r="E49" s="47">
        <v>8203</v>
      </c>
      <c r="F49" s="50">
        <f t="shared" si="15"/>
        <v>1.6336504509815247E-2</v>
      </c>
      <c r="G49" s="50">
        <f t="shared" si="16"/>
        <v>7.5409359843205898E-3</v>
      </c>
      <c r="H49" s="52">
        <v>1.2525000000000002</v>
      </c>
      <c r="I49" s="33"/>
      <c r="J49" s="22" t="s">
        <v>36</v>
      </c>
      <c r="K49" s="47">
        <v>2207</v>
      </c>
      <c r="L49" s="50">
        <f>+K49/K$54</f>
        <v>4.9359246751504035E-2</v>
      </c>
      <c r="M49" s="52">
        <v>1.6283333333333332</v>
      </c>
      <c r="N49" s="33"/>
      <c r="O49" s="32"/>
    </row>
    <row r="50" spans="2:15" x14ac:dyDescent="0.25">
      <c r="B50" s="31"/>
      <c r="D50" s="22" t="s">
        <v>4</v>
      </c>
      <c r="E50" s="47">
        <f>44407+67</f>
        <v>44474</v>
      </c>
      <c r="F50" s="50">
        <f t="shared" si="15"/>
        <v>8.8571218038464378E-2</v>
      </c>
      <c r="G50" s="50">
        <f t="shared" si="16"/>
        <v>4.0884504079809085E-2</v>
      </c>
      <c r="H50" s="52">
        <v>1.5880303030303029</v>
      </c>
      <c r="I50" s="33"/>
      <c r="J50" s="22" t="s">
        <v>121</v>
      </c>
      <c r="K50" s="47">
        <v>2147</v>
      </c>
      <c r="L50" s="50">
        <f>+K50/K$54</f>
        <v>4.8017355131617201E-2</v>
      </c>
      <c r="M50" s="52">
        <v>1.8333333333333333</v>
      </c>
      <c r="N50" s="33"/>
      <c r="O50" s="32"/>
    </row>
    <row r="51" spans="2:15" x14ac:dyDescent="0.25">
      <c r="B51" s="31"/>
      <c r="D51" s="48" t="s">
        <v>30</v>
      </c>
      <c r="E51" s="49">
        <f>SUM(E43:E50)</f>
        <v>502127</v>
      </c>
      <c r="F51" s="51">
        <f t="shared" si="15"/>
        <v>1</v>
      </c>
      <c r="G51" s="50"/>
      <c r="I51" s="33"/>
      <c r="J51" s="22" t="s">
        <v>37</v>
      </c>
      <c r="K51" s="47">
        <v>1557</v>
      </c>
      <c r="L51" s="50">
        <f t="shared" si="17"/>
        <v>3.4822087536063334E-2</v>
      </c>
      <c r="M51" s="52">
        <v>1.3916666666666666</v>
      </c>
      <c r="N51" s="33"/>
      <c r="O51" s="32"/>
    </row>
    <row r="52" spans="2:15" x14ac:dyDescent="0.25">
      <c r="B52" s="31"/>
      <c r="D52" s="53" t="s">
        <v>31</v>
      </c>
      <c r="E52" s="39"/>
      <c r="F52" s="22"/>
      <c r="G52" s="50"/>
      <c r="I52" s="33"/>
      <c r="J52" s="22" t="s">
        <v>40</v>
      </c>
      <c r="K52" s="47">
        <v>1309</v>
      </c>
      <c r="L52" s="50">
        <f t="shared" si="17"/>
        <v>2.9275602173864424E-2</v>
      </c>
      <c r="M52" s="52">
        <v>1.8874999999999995</v>
      </c>
      <c r="N52" s="33"/>
      <c r="O52" s="32"/>
    </row>
    <row r="53" spans="2:15" x14ac:dyDescent="0.25">
      <c r="B53" s="31"/>
      <c r="D53" s="22" t="s">
        <v>113</v>
      </c>
      <c r="E53" s="47">
        <v>585669</v>
      </c>
      <c r="F53" s="22"/>
      <c r="G53" s="50">
        <f>+E53/E$54</f>
        <v>0.53839966317213894</v>
      </c>
      <c r="H53" s="52">
        <v>1.1300000000000001</v>
      </c>
      <c r="I53" s="33"/>
      <c r="J53" s="22" t="s">
        <v>4</v>
      </c>
      <c r="K53" s="47">
        <f>11072+58</f>
        <v>11130</v>
      </c>
      <c r="L53" s="50">
        <f t="shared" si="17"/>
        <v>0.24892089548900767</v>
      </c>
      <c r="M53" s="52">
        <v>1.9632320574162678</v>
      </c>
      <c r="N53" s="33"/>
      <c r="O53" s="32"/>
    </row>
    <row r="54" spans="2:15" x14ac:dyDescent="0.25">
      <c r="B54" s="31"/>
      <c r="D54" s="48" t="s">
        <v>10</v>
      </c>
      <c r="E54" s="49">
        <f>+E53+E51</f>
        <v>1087796</v>
      </c>
      <c r="F54" s="48"/>
      <c r="G54" s="51">
        <f>+E54/E$54</f>
        <v>1</v>
      </c>
      <c r="H54" s="99">
        <v>1.4719397993311023</v>
      </c>
      <c r="I54" s="33"/>
      <c r="J54" s="48" t="s">
        <v>10</v>
      </c>
      <c r="K54" s="49">
        <f>SUM(K43:K53)</f>
        <v>44713</v>
      </c>
      <c r="L54" s="51">
        <f t="shared" si="17"/>
        <v>1</v>
      </c>
      <c r="M54" s="99">
        <v>1.7922911694510719</v>
      </c>
      <c r="N54" s="33"/>
      <c r="O54" s="32"/>
    </row>
    <row r="55" spans="2:15" x14ac:dyDescent="0.25">
      <c r="B55" s="31"/>
      <c r="D55" s="53" t="s">
        <v>32</v>
      </c>
      <c r="E55" s="33"/>
      <c r="F55" s="33"/>
      <c r="G55" s="33"/>
      <c r="I55" s="33"/>
      <c r="J55" s="33"/>
      <c r="K55" s="33"/>
      <c r="L55" s="33"/>
      <c r="M55" s="33"/>
      <c r="N55" s="33"/>
      <c r="O55" s="32"/>
    </row>
    <row r="56" spans="2:15" x14ac:dyDescent="0.25">
      <c r="B56" s="31"/>
      <c r="C56" s="33"/>
      <c r="D56" s="173" t="s">
        <v>34</v>
      </c>
      <c r="E56" s="173"/>
      <c r="F56" s="173"/>
      <c r="G56" s="173"/>
      <c r="H56" s="173"/>
      <c r="I56" s="173"/>
      <c r="J56" s="173"/>
      <c r="K56" s="173"/>
      <c r="L56" s="173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60" spans="2:15" x14ac:dyDescent="0.25">
      <c r="B60" s="40" t="s">
        <v>72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E62" s="171" t="s">
        <v>67</v>
      </c>
      <c r="F62" s="171"/>
      <c r="G62" s="171"/>
      <c r="H62" s="171"/>
      <c r="I62" s="171"/>
      <c r="J62" s="171"/>
      <c r="K62" s="171"/>
      <c r="N62" s="33"/>
      <c r="O62" s="32"/>
    </row>
    <row r="63" spans="2:15" x14ac:dyDescent="0.25">
      <c r="B63" s="31"/>
      <c r="E63" s="20" t="s">
        <v>68</v>
      </c>
      <c r="F63" s="20" t="s">
        <v>59</v>
      </c>
      <c r="G63" s="20" t="s">
        <v>62</v>
      </c>
      <c r="H63" s="20" t="s">
        <v>60</v>
      </c>
      <c r="I63" s="20" t="s">
        <v>62</v>
      </c>
      <c r="J63" s="65" t="s">
        <v>61</v>
      </c>
      <c r="K63" s="20" t="s">
        <v>62</v>
      </c>
      <c r="N63" s="33"/>
      <c r="O63" s="32"/>
    </row>
    <row r="64" spans="2:15" x14ac:dyDescent="0.25">
      <c r="B64" s="31"/>
      <c r="E64" s="71" t="s">
        <v>66</v>
      </c>
      <c r="F64" s="66">
        <f>SUM(F65:F70)</f>
        <v>246</v>
      </c>
      <c r="G64" s="72">
        <f>+F64/F72</f>
        <v>0.29390681003584229</v>
      </c>
      <c r="H64" s="66">
        <f>SUM(H65:H70)</f>
        <v>4740</v>
      </c>
      <c r="I64" s="72">
        <f>+H64/H72</f>
        <v>0.4860043063672716</v>
      </c>
      <c r="J64" s="66">
        <f>SUM(J65:J70)</f>
        <v>8302</v>
      </c>
      <c r="K64" s="72">
        <f>+J64/J72</f>
        <v>0.48219782772840797</v>
      </c>
      <c r="N64" s="33"/>
      <c r="O64" s="32"/>
    </row>
    <row r="65" spans="2:15" x14ac:dyDescent="0.25">
      <c r="B65" s="31"/>
      <c r="E65" s="22" t="s">
        <v>54</v>
      </c>
      <c r="F65" s="47">
        <v>47</v>
      </c>
      <c r="G65" s="68">
        <f t="shared" ref="G65:G70" si="18">+F65/F$64</f>
        <v>0.1910569105691057</v>
      </c>
      <c r="H65" s="47">
        <v>692</v>
      </c>
      <c r="I65" s="68">
        <f t="shared" ref="I65:I70" si="19">+H65/H$64</f>
        <v>0.14599156118143461</v>
      </c>
      <c r="J65" s="47">
        <v>1104</v>
      </c>
      <c r="K65" s="68">
        <f t="shared" ref="K65:K70" si="20">+J65/J$64</f>
        <v>0.13298000481811612</v>
      </c>
      <c r="N65" s="33"/>
      <c r="O65" s="32"/>
    </row>
    <row r="66" spans="2:15" x14ac:dyDescent="0.25">
      <c r="B66" s="31"/>
      <c r="E66" s="22" t="s">
        <v>55</v>
      </c>
      <c r="F66" s="47">
        <v>145</v>
      </c>
      <c r="G66" s="63">
        <f t="shared" si="18"/>
        <v>0.58943089430894313</v>
      </c>
      <c r="H66" s="47">
        <v>2631</v>
      </c>
      <c r="I66" s="63">
        <f t="shared" si="19"/>
        <v>0.55506329113924047</v>
      </c>
      <c r="J66" s="47">
        <v>4620</v>
      </c>
      <c r="K66" s="63">
        <f t="shared" si="20"/>
        <v>0.55649241146711637</v>
      </c>
      <c r="M66" s="21"/>
      <c r="N66" s="33"/>
      <c r="O66" s="32"/>
    </row>
    <row r="67" spans="2:15" x14ac:dyDescent="0.25">
      <c r="B67" s="31"/>
      <c r="E67" s="22" t="s">
        <v>56</v>
      </c>
      <c r="F67" s="47">
        <v>49</v>
      </c>
      <c r="G67" s="63">
        <f t="shared" si="18"/>
        <v>0.1991869918699187</v>
      </c>
      <c r="H67" s="47">
        <v>1370</v>
      </c>
      <c r="I67" s="63">
        <f t="shared" si="19"/>
        <v>0.28902953586497893</v>
      </c>
      <c r="J67" s="47">
        <v>2470</v>
      </c>
      <c r="K67" s="63">
        <f t="shared" si="20"/>
        <v>0.29751867019995182</v>
      </c>
      <c r="N67" s="33"/>
      <c r="O67" s="32"/>
    </row>
    <row r="68" spans="2:15" x14ac:dyDescent="0.25">
      <c r="B68" s="31"/>
      <c r="E68" s="22" t="s">
        <v>57</v>
      </c>
      <c r="F68" s="47">
        <v>0</v>
      </c>
      <c r="G68" s="63">
        <f t="shared" si="18"/>
        <v>0</v>
      </c>
      <c r="H68" s="47">
        <v>0</v>
      </c>
      <c r="I68" s="63">
        <f t="shared" si="19"/>
        <v>0</v>
      </c>
      <c r="J68" s="47">
        <v>0</v>
      </c>
      <c r="K68" s="63">
        <f t="shared" si="20"/>
        <v>0</v>
      </c>
      <c r="N68" s="33"/>
      <c r="O68" s="32"/>
    </row>
    <row r="69" spans="2:15" x14ac:dyDescent="0.25">
      <c r="B69" s="31"/>
      <c r="E69" s="22" t="s">
        <v>58</v>
      </c>
      <c r="F69" s="47">
        <v>0</v>
      </c>
      <c r="G69" s="63">
        <f t="shared" si="18"/>
        <v>0</v>
      </c>
      <c r="H69" s="47">
        <v>0</v>
      </c>
      <c r="I69" s="63">
        <f t="shared" si="19"/>
        <v>0</v>
      </c>
      <c r="J69" s="47">
        <v>0</v>
      </c>
      <c r="K69" s="63">
        <f t="shared" si="20"/>
        <v>0</v>
      </c>
      <c r="N69" s="33"/>
      <c r="O69" s="32"/>
    </row>
    <row r="70" spans="2:15" x14ac:dyDescent="0.25">
      <c r="B70" s="31"/>
      <c r="E70" s="22" t="s">
        <v>69</v>
      </c>
      <c r="F70" s="47">
        <v>5</v>
      </c>
      <c r="G70" s="63">
        <f t="shared" si="18"/>
        <v>2.032520325203252E-2</v>
      </c>
      <c r="H70" s="47">
        <v>47</v>
      </c>
      <c r="I70" s="63">
        <f t="shared" si="19"/>
        <v>9.9156118143459912E-3</v>
      </c>
      <c r="J70" s="47">
        <v>108</v>
      </c>
      <c r="K70" s="63">
        <f t="shared" si="20"/>
        <v>1.3008913514815708E-2</v>
      </c>
      <c r="N70" s="33"/>
      <c r="O70" s="32"/>
    </row>
    <row r="71" spans="2:15" ht="15.75" thickBot="1" x14ac:dyDescent="0.3">
      <c r="B71" s="31"/>
      <c r="E71" s="69" t="s">
        <v>64</v>
      </c>
      <c r="F71" s="70">
        <v>591</v>
      </c>
      <c r="G71" s="73">
        <f>+F71/F72</f>
        <v>0.70609318996415771</v>
      </c>
      <c r="H71" s="70">
        <v>5013</v>
      </c>
      <c r="I71" s="73">
        <f>+H71/H72</f>
        <v>0.51399569363272835</v>
      </c>
      <c r="J71" s="70">
        <v>8915</v>
      </c>
      <c r="K71" s="73">
        <f>+J71/J72</f>
        <v>0.51780217227159198</v>
      </c>
      <c r="N71" s="33"/>
      <c r="O71" s="32"/>
    </row>
    <row r="72" spans="2:15" ht="15.75" thickTop="1" x14ac:dyDescent="0.25">
      <c r="B72" s="31"/>
      <c r="E72" s="71" t="s">
        <v>65</v>
      </c>
      <c r="F72" s="66">
        <f>+F71+F64</f>
        <v>837</v>
      </c>
      <c r="G72" s="67"/>
      <c r="H72" s="66">
        <f>+H71+H64</f>
        <v>9753</v>
      </c>
      <c r="I72" s="67"/>
      <c r="J72" s="66">
        <f>+J71+J64</f>
        <v>17217</v>
      </c>
      <c r="K72" s="67"/>
      <c r="N72" s="33"/>
      <c r="O72" s="32"/>
    </row>
    <row r="73" spans="2:15" x14ac:dyDescent="0.25">
      <c r="B73" s="31"/>
      <c r="E73" s="179" t="s">
        <v>71</v>
      </c>
      <c r="F73" s="179"/>
      <c r="G73" s="179"/>
      <c r="H73" s="179"/>
      <c r="I73" s="179"/>
      <c r="J73" s="179"/>
      <c r="K73" s="179"/>
      <c r="N73" s="33"/>
      <c r="O73" s="32"/>
    </row>
    <row r="74" spans="2:15" x14ac:dyDescent="0.25">
      <c r="B74" s="31"/>
      <c r="E74" s="179"/>
      <c r="F74" s="179"/>
      <c r="G74" s="179"/>
      <c r="H74" s="179"/>
      <c r="I74" s="179"/>
      <c r="J74" s="179"/>
      <c r="K74" s="179"/>
      <c r="N74" s="33"/>
      <c r="O74" s="32"/>
    </row>
    <row r="75" spans="2:15" x14ac:dyDescent="0.25">
      <c r="B75" s="31"/>
      <c r="E75" s="77" t="s">
        <v>70</v>
      </c>
      <c r="F75" s="53"/>
      <c r="G75" s="53"/>
      <c r="H75" s="53"/>
      <c r="I75" s="53"/>
      <c r="J75" s="53"/>
      <c r="N75" s="33"/>
      <c r="O75" s="32"/>
    </row>
    <row r="76" spans="2:15" x14ac:dyDescent="0.25">
      <c r="B76" s="31"/>
      <c r="E76" s="75" t="s">
        <v>63</v>
      </c>
      <c r="F76" s="75"/>
      <c r="G76" s="75"/>
      <c r="H76" s="75"/>
      <c r="I76" s="75"/>
      <c r="J76" s="75"/>
      <c r="K76" s="76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81" spans="10:10" x14ac:dyDescent="0.25">
      <c r="J81" s="64"/>
    </row>
  </sheetData>
  <mergeCells count="13">
    <mergeCell ref="E73:K74"/>
    <mergeCell ref="E62:K62"/>
    <mergeCell ref="B1:O2"/>
    <mergeCell ref="D40:H41"/>
    <mergeCell ref="D56:L56"/>
    <mergeCell ref="J40:M41"/>
    <mergeCell ref="F10:L10"/>
    <mergeCell ref="C27:D30"/>
    <mergeCell ref="F27:L27"/>
    <mergeCell ref="F31:L31"/>
    <mergeCell ref="C7:N8"/>
    <mergeCell ref="C36:N38"/>
    <mergeCell ref="M18:N22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15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3" width="11.7109375" style="6" customWidth="1"/>
    <col min="4" max="4" width="11.85546875" style="6" customWidth="1"/>
    <col min="5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4" t="s">
        <v>156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15" ht="1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101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56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193,091.0 arribos de turistas nacionales y extranjeros, mientras que el 2017 los  arribos de turistas extranjeros y nacionales sumaron 538,819.0, representando un  crecimiento promedio anual de 10.8%   en el periodo 2006 – 2016.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32"/>
    </row>
    <row r="8" spans="2:15" x14ac:dyDescent="0.25">
      <c r="B8" s="31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65" t="s">
        <v>102</v>
      </c>
      <c r="G10" s="165"/>
      <c r="H10" s="165"/>
      <c r="I10" s="165"/>
      <c r="J10" s="165"/>
      <c r="K10" s="165"/>
      <c r="L10" s="165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6</v>
      </c>
      <c r="G11" s="19" t="s">
        <v>7</v>
      </c>
      <c r="H11" s="18" t="s">
        <v>8</v>
      </c>
      <c r="I11" s="19" t="s">
        <v>9</v>
      </c>
      <c r="J11" s="18" t="s">
        <v>8</v>
      </c>
      <c r="K11" s="18" t="s">
        <v>10</v>
      </c>
      <c r="L11" s="18" t="s">
        <v>8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148494</v>
      </c>
      <c r="H12" s="42"/>
      <c r="I12" s="25">
        <v>2395</v>
      </c>
      <c r="J12" s="42"/>
      <c r="K12" s="25">
        <f>+I12+G12</f>
        <v>150889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135867</v>
      </c>
      <c r="H13" s="43">
        <f>+G13/G12-1</f>
        <v>-8.5033738736918663E-2</v>
      </c>
      <c r="I13" s="25">
        <v>2870</v>
      </c>
      <c r="J13" s="43">
        <f>+I13/I12-1</f>
        <v>0.19832985386221291</v>
      </c>
      <c r="K13" s="25">
        <f>+I13+G13</f>
        <v>138737</v>
      </c>
      <c r="L13" s="43">
        <f>+K13/K12-1</f>
        <v>-8.0536023169349602E-2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145415</v>
      </c>
      <c r="H14" s="43">
        <f t="shared" ref="H14:J26" si="0">+G14/G13-1</f>
        <v>7.0274606784576088E-2</v>
      </c>
      <c r="I14" s="25">
        <v>2887</v>
      </c>
      <c r="J14" s="43">
        <f t="shared" si="0"/>
        <v>5.9233449477351652E-3</v>
      </c>
      <c r="K14" s="25">
        <f t="shared" ref="K14:K26" si="1">+I14+G14</f>
        <v>148302</v>
      </c>
      <c r="L14" s="43">
        <f t="shared" ref="L14:L26" si="2">+K14/K13-1</f>
        <v>6.8943396498410747E-2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162456</v>
      </c>
      <c r="H15" s="43">
        <f t="shared" si="0"/>
        <v>0.11718873568751498</v>
      </c>
      <c r="I15" s="25">
        <v>3298</v>
      </c>
      <c r="J15" s="43">
        <f t="shared" si="0"/>
        <v>0.14236231382057496</v>
      </c>
      <c r="K15" s="25">
        <f t="shared" si="1"/>
        <v>165754</v>
      </c>
      <c r="L15" s="43">
        <f t="shared" si="2"/>
        <v>0.11767879057598685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188055</v>
      </c>
      <c r="H16" s="43">
        <f t="shared" si="0"/>
        <v>0.15757497414684596</v>
      </c>
      <c r="I16" s="25">
        <v>5036</v>
      </c>
      <c r="J16" s="43">
        <f t="shared" si="0"/>
        <v>0.52698605215281979</v>
      </c>
      <c r="K16" s="25">
        <f t="shared" si="1"/>
        <v>193091</v>
      </c>
      <c r="L16" s="43">
        <f t="shared" si="2"/>
        <v>0.16492513001194542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226630</v>
      </c>
      <c r="H17" s="43">
        <f t="shared" si="0"/>
        <v>0.20512615990002914</v>
      </c>
      <c r="I17" s="25">
        <v>6042</v>
      </c>
      <c r="J17" s="43">
        <f t="shared" si="0"/>
        <v>0.19976171564733924</v>
      </c>
      <c r="K17" s="25">
        <f t="shared" si="1"/>
        <v>232672</v>
      </c>
      <c r="L17" s="43">
        <f t="shared" si="2"/>
        <v>0.20498625000647364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262881</v>
      </c>
      <c r="H18" s="43">
        <f t="shared" si="0"/>
        <v>0.15995675771080609</v>
      </c>
      <c r="I18" s="25">
        <v>6484</v>
      </c>
      <c r="J18" s="43">
        <f t="shared" si="0"/>
        <v>7.3154584574644188E-2</v>
      </c>
      <c r="K18" s="25">
        <f t="shared" si="1"/>
        <v>269365</v>
      </c>
      <c r="L18" s="43">
        <f t="shared" si="2"/>
        <v>0.15770268876358129</v>
      </c>
      <c r="M18" s="181" t="s">
        <v>11</v>
      </c>
      <c r="N18" s="182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261755</v>
      </c>
      <c r="H19" s="43">
        <f t="shared" si="0"/>
        <v>-4.2833068955154818E-3</v>
      </c>
      <c r="I19" s="25">
        <v>7067</v>
      </c>
      <c r="J19" s="43">
        <f t="shared" si="0"/>
        <v>8.9913633559531192E-2</v>
      </c>
      <c r="K19" s="25">
        <f t="shared" si="1"/>
        <v>268822</v>
      </c>
      <c r="L19" s="43">
        <f t="shared" si="2"/>
        <v>-2.0158520965976034E-3</v>
      </c>
      <c r="M19" s="181"/>
      <c r="N19" s="182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260556</v>
      </c>
      <c r="H20" s="43">
        <f t="shared" si="0"/>
        <v>-4.5806192813890867E-3</v>
      </c>
      <c r="I20" s="25">
        <v>5813</v>
      </c>
      <c r="J20" s="43">
        <f t="shared" si="0"/>
        <v>-0.17744446016697324</v>
      </c>
      <c r="K20" s="25">
        <f t="shared" si="1"/>
        <v>266369</v>
      </c>
      <c r="L20" s="43">
        <f t="shared" si="2"/>
        <v>-9.1249972100497789E-3</v>
      </c>
      <c r="M20" s="181"/>
      <c r="N20" s="182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291028</v>
      </c>
      <c r="H21" s="43">
        <f t="shared" si="0"/>
        <v>0.11694990712169351</v>
      </c>
      <c r="I21" s="25">
        <v>8282</v>
      </c>
      <c r="J21" s="43">
        <f t="shared" si="0"/>
        <v>0.42473765697574395</v>
      </c>
      <c r="K21" s="25">
        <f t="shared" si="1"/>
        <v>299310</v>
      </c>
      <c r="L21" s="43">
        <f t="shared" si="2"/>
        <v>0.12366679305775063</v>
      </c>
      <c r="M21" s="181"/>
      <c r="N21" s="182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309305</v>
      </c>
      <c r="H22" s="43">
        <f t="shared" si="0"/>
        <v>6.280151737977091E-2</v>
      </c>
      <c r="I22" s="25">
        <v>7215</v>
      </c>
      <c r="J22" s="43">
        <f t="shared" si="0"/>
        <v>-0.12883361506882396</v>
      </c>
      <c r="K22" s="25">
        <f t="shared" si="1"/>
        <v>316520</v>
      </c>
      <c r="L22" s="43">
        <f t="shared" si="2"/>
        <v>5.7498914169255899E-2</v>
      </c>
      <c r="M22" s="181"/>
      <c r="N22" s="182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396992</v>
      </c>
      <c r="H23" s="43">
        <f t="shared" si="0"/>
        <v>0.28349687201952767</v>
      </c>
      <c r="I23" s="25">
        <v>6921</v>
      </c>
      <c r="J23" s="43">
        <f t="shared" si="0"/>
        <v>-4.0748440748440751E-2</v>
      </c>
      <c r="K23" s="25">
        <f t="shared" si="1"/>
        <v>403913</v>
      </c>
      <c r="L23" s="43">
        <f t="shared" si="2"/>
        <v>0.27610577530645775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367819</v>
      </c>
      <c r="H24" s="43">
        <f t="shared" si="0"/>
        <v>-7.3485108012252165E-2</v>
      </c>
      <c r="I24" s="25">
        <v>10369</v>
      </c>
      <c r="J24" s="43">
        <f t="shared" si="0"/>
        <v>0.49819390261522911</v>
      </c>
      <c r="K24" s="25">
        <f t="shared" si="1"/>
        <v>378188</v>
      </c>
      <c r="L24" s="43">
        <f t="shared" si="2"/>
        <v>-6.3689457878305489E-2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482543</v>
      </c>
      <c r="H25" s="43">
        <f t="shared" si="0"/>
        <v>0.31190340901367253</v>
      </c>
      <c r="I25" s="25">
        <v>5151</v>
      </c>
      <c r="J25" s="43">
        <f t="shared" si="0"/>
        <v>-0.50323078406789468</v>
      </c>
      <c r="K25" s="25">
        <f t="shared" si="1"/>
        <v>487694</v>
      </c>
      <c r="L25" s="43">
        <f t="shared" si="2"/>
        <v>0.28955440151459055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532271</v>
      </c>
      <c r="H26" s="43">
        <f t="shared" si="0"/>
        <v>0.10305402834566046</v>
      </c>
      <c r="I26" s="25">
        <v>6548</v>
      </c>
      <c r="J26" s="43">
        <f t="shared" si="0"/>
        <v>0.27120947388856531</v>
      </c>
      <c r="K26" s="25">
        <f t="shared" si="1"/>
        <v>538819</v>
      </c>
      <c r="L26" s="43">
        <f t="shared" si="2"/>
        <v>0.10483007787670129</v>
      </c>
      <c r="M26" s="45">
        <f>+(K26/K16)^(1/10)-1</f>
        <v>0.10807227097425365</v>
      </c>
      <c r="N26" s="33"/>
      <c r="O26" s="32"/>
    </row>
    <row r="27" spans="2:15" ht="15" customHeight="1" x14ac:dyDescent="0.25">
      <c r="B27" s="31"/>
      <c r="C27" s="180" t="s">
        <v>12</v>
      </c>
      <c r="D27" s="180"/>
      <c r="E27" s="33"/>
      <c r="F27" s="166" t="s">
        <v>13</v>
      </c>
      <c r="G27" s="166"/>
      <c r="H27" s="166"/>
      <c r="I27" s="166"/>
      <c r="J27" s="166"/>
      <c r="K27" s="166"/>
      <c r="L27" s="166"/>
      <c r="M27" s="33"/>
      <c r="N27" s="33"/>
      <c r="O27" s="32"/>
    </row>
    <row r="28" spans="2:15" x14ac:dyDescent="0.25">
      <c r="B28" s="31"/>
      <c r="C28" s="180"/>
      <c r="D28" s="180"/>
      <c r="E28" s="33"/>
      <c r="F28" s="44">
        <v>2007</v>
      </c>
      <c r="G28" s="26">
        <f>+G16/K16</f>
        <v>0.97391903299480553</v>
      </c>
      <c r="H28" s="27"/>
      <c r="I28" s="26">
        <f>+I16/K16</f>
        <v>2.6080967005194442E-2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0"/>
      <c r="D29" s="180"/>
      <c r="E29" s="33"/>
      <c r="F29" s="44">
        <v>2012</v>
      </c>
      <c r="G29" s="26">
        <f>+G21/K21</f>
        <v>0.97232969162406868</v>
      </c>
      <c r="H29" s="27"/>
      <c r="I29" s="26">
        <f>+I21/K21</f>
        <v>2.7670308375931308E-2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0"/>
      <c r="D30" s="180"/>
      <c r="E30" s="33"/>
      <c r="F30" s="44">
        <v>2017</v>
      </c>
      <c r="G30" s="26">
        <f>+G26/K26</f>
        <v>0.98784749609794753</v>
      </c>
      <c r="H30" s="27"/>
      <c r="I30" s="26">
        <f>+I26/K26</f>
        <v>1.2152503902052452E-2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67" t="s">
        <v>14</v>
      </c>
      <c r="G31" s="167"/>
      <c r="H31" s="167"/>
      <c r="I31" s="167"/>
      <c r="J31" s="167"/>
      <c r="K31" s="167"/>
      <c r="L31" s="167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103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56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Cusco con 75,765 arribos en esta región (equivalente al 29.8% de este total), Lima Metropolitana Y Callao con 54,586 arribos (21.4%)  y Lima Provincias con 33,280 arribos (13.1 %). En tanto  Francia es el principal lugar de procedencia de los huespedes del exterior con 615  arribos (equivalente al 9.4 % de los arribos del exterior), le sigue Argentina  con  613  arribos (9.4 %) y Estados Unidos (Usa) con 584 (8.9 %) entre las principales.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32"/>
    </row>
    <row r="37" spans="2:15" x14ac:dyDescent="0.25">
      <c r="B37" s="31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32"/>
    </row>
    <row r="38" spans="2:15" x14ac:dyDescent="0.25">
      <c r="B38" s="31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71" t="s">
        <v>29</v>
      </c>
      <c r="E40" s="171"/>
      <c r="F40" s="171"/>
      <c r="G40" s="171"/>
      <c r="H40" s="171"/>
      <c r="I40" s="33"/>
      <c r="J40" s="160" t="s">
        <v>53</v>
      </c>
      <c r="K40" s="160"/>
      <c r="L40" s="160"/>
      <c r="M40" s="160"/>
      <c r="N40" s="33"/>
      <c r="O40" s="32"/>
    </row>
    <row r="41" spans="2:15" x14ac:dyDescent="0.25">
      <c r="B41" s="31"/>
      <c r="C41" s="28"/>
      <c r="D41" s="171"/>
      <c r="E41" s="171"/>
      <c r="F41" s="171"/>
      <c r="G41" s="171"/>
      <c r="H41" s="171"/>
      <c r="I41" s="33"/>
      <c r="J41" s="160"/>
      <c r="K41" s="160"/>
      <c r="L41" s="160"/>
      <c r="M41" s="160"/>
      <c r="N41" s="33"/>
      <c r="O41" s="32"/>
    </row>
    <row r="42" spans="2:15" x14ac:dyDescent="0.25">
      <c r="B42" s="31"/>
      <c r="C42" s="60"/>
      <c r="D42" s="20" t="s">
        <v>5</v>
      </c>
      <c r="E42" s="20" t="s">
        <v>15</v>
      </c>
      <c r="F42" s="20" t="s">
        <v>16</v>
      </c>
      <c r="G42" s="20" t="s">
        <v>17</v>
      </c>
      <c r="H42" s="20" t="s">
        <v>33</v>
      </c>
      <c r="I42" s="100"/>
      <c r="J42" s="20" t="s">
        <v>18</v>
      </c>
      <c r="K42" s="20" t="s">
        <v>15</v>
      </c>
      <c r="L42" s="20" t="s">
        <v>17</v>
      </c>
      <c r="M42" s="20" t="s">
        <v>33</v>
      </c>
      <c r="N42" s="33"/>
      <c r="O42" s="32"/>
    </row>
    <row r="43" spans="2:15" x14ac:dyDescent="0.25">
      <c r="B43" s="31"/>
      <c r="C43" s="28"/>
      <c r="D43" s="22" t="s">
        <v>123</v>
      </c>
      <c r="E43" s="47">
        <v>75765</v>
      </c>
      <c r="F43" s="50">
        <f t="shared" ref="F43:F51" si="3">+E43/E$51</f>
        <v>0.29765108449260047</v>
      </c>
      <c r="G43" s="50">
        <f t="shared" ref="G43:G50" si="4">+E43/E$54</f>
        <v>0.14234290427244767</v>
      </c>
      <c r="H43" s="52">
        <v>1.2916666666666667</v>
      </c>
      <c r="I43" s="33"/>
      <c r="J43" s="22" t="s">
        <v>20</v>
      </c>
      <c r="K43" s="47">
        <v>615</v>
      </c>
      <c r="L43" s="50">
        <f t="shared" ref="L43:L54" si="5">+K43/K$54</f>
        <v>9.3921808185705558E-2</v>
      </c>
      <c r="M43" s="52">
        <v>1.1966666666666665</v>
      </c>
      <c r="N43" s="33"/>
      <c r="O43" s="32"/>
    </row>
    <row r="44" spans="2:15" x14ac:dyDescent="0.25">
      <c r="B44" s="31"/>
      <c r="C44" s="28"/>
      <c r="D44" s="22" t="s">
        <v>27</v>
      </c>
      <c r="E44" s="47">
        <v>54586</v>
      </c>
      <c r="F44" s="50">
        <f t="shared" si="3"/>
        <v>0.21444706788244031</v>
      </c>
      <c r="G44" s="50">
        <f t="shared" si="4"/>
        <v>0.10255302280229432</v>
      </c>
      <c r="H44" s="52">
        <v>1.3983333333333334</v>
      </c>
      <c r="I44" s="33"/>
      <c r="J44" s="22" t="s">
        <v>26</v>
      </c>
      <c r="K44" s="47">
        <v>613</v>
      </c>
      <c r="L44" s="50">
        <f t="shared" si="5"/>
        <v>9.3616371411117894E-2</v>
      </c>
      <c r="M44" s="52">
        <v>1.3175000000000001</v>
      </c>
      <c r="N44" s="33"/>
      <c r="O44" s="32"/>
    </row>
    <row r="45" spans="2:15" x14ac:dyDescent="0.25">
      <c r="B45" s="31"/>
      <c r="C45" s="28"/>
      <c r="D45" s="22" t="s">
        <v>28</v>
      </c>
      <c r="E45" s="47">
        <v>33280</v>
      </c>
      <c r="F45" s="50">
        <f t="shared" si="3"/>
        <v>0.13074411788970822</v>
      </c>
      <c r="G45" s="50">
        <f t="shared" si="4"/>
        <v>6.2524541070244299E-2</v>
      </c>
      <c r="H45" s="52">
        <v>1.5175000000000001</v>
      </c>
      <c r="I45" s="33"/>
      <c r="J45" s="22" t="s">
        <v>35</v>
      </c>
      <c r="K45" s="47">
        <v>584</v>
      </c>
      <c r="L45" s="50">
        <f t="shared" si="5"/>
        <v>8.918753817959682E-2</v>
      </c>
      <c r="M45" s="52">
        <v>1.2616666666666665</v>
      </c>
      <c r="N45" s="33"/>
      <c r="O45" s="32"/>
    </row>
    <row r="46" spans="2:15" x14ac:dyDescent="0.25">
      <c r="B46" s="31"/>
      <c r="C46" s="28"/>
      <c r="D46" s="22" t="s">
        <v>115</v>
      </c>
      <c r="E46" s="47">
        <v>24530</v>
      </c>
      <c r="F46" s="50">
        <f t="shared" si="3"/>
        <v>9.6368786413297561E-2</v>
      </c>
      <c r="G46" s="50">
        <f t="shared" si="4"/>
        <v>4.608554664822994E-2</v>
      </c>
      <c r="H46" s="52">
        <v>1.3658333333333335</v>
      </c>
      <c r="I46" s="33"/>
      <c r="J46" s="22" t="s">
        <v>21</v>
      </c>
      <c r="K46" s="47">
        <v>539</v>
      </c>
      <c r="L46" s="50">
        <f t="shared" si="5"/>
        <v>8.2315210751374462E-2</v>
      </c>
      <c r="M46" s="52">
        <v>1.1958333333333335</v>
      </c>
      <c r="N46" s="33"/>
      <c r="O46" s="32"/>
    </row>
    <row r="47" spans="2:15" x14ac:dyDescent="0.25">
      <c r="B47" s="31"/>
      <c r="C47" s="28"/>
      <c r="D47" s="22" t="s">
        <v>124</v>
      </c>
      <c r="E47" s="47">
        <v>15728</v>
      </c>
      <c r="F47" s="50">
        <f t="shared" si="3"/>
        <v>6.178916725268422E-2</v>
      </c>
      <c r="G47" s="50">
        <f t="shared" si="4"/>
        <v>2.9548857630793336E-2</v>
      </c>
      <c r="H47" s="52">
        <v>1.2858333333333334</v>
      </c>
      <c r="I47" s="33"/>
      <c r="J47" s="22" t="s">
        <v>44</v>
      </c>
      <c r="K47" s="47">
        <v>461</v>
      </c>
      <c r="L47" s="50">
        <f t="shared" si="5"/>
        <v>7.0403176542455717E-2</v>
      </c>
      <c r="M47" s="52">
        <v>2.2033333333333331</v>
      </c>
      <c r="N47" s="33"/>
      <c r="O47" s="32"/>
    </row>
    <row r="48" spans="2:15" x14ac:dyDescent="0.25">
      <c r="B48" s="31"/>
      <c r="C48" s="28"/>
      <c r="D48" s="22" t="s">
        <v>125</v>
      </c>
      <c r="E48" s="47">
        <v>12287</v>
      </c>
      <c r="F48" s="50">
        <f t="shared" si="3"/>
        <v>4.8270822611503755E-2</v>
      </c>
      <c r="G48" s="50">
        <f t="shared" si="4"/>
        <v>2.3084105652947464E-2</v>
      </c>
      <c r="H48" s="52">
        <v>1.5008333333333332</v>
      </c>
      <c r="I48" s="33"/>
      <c r="J48" s="22" t="s">
        <v>37</v>
      </c>
      <c r="K48" s="47">
        <v>443</v>
      </c>
      <c r="L48" s="50">
        <f t="shared" si="5"/>
        <v>6.7654245571166768E-2</v>
      </c>
      <c r="M48" s="52">
        <v>1.0645454545454545</v>
      </c>
      <c r="N48" s="33"/>
      <c r="O48" s="32"/>
    </row>
    <row r="49" spans="2:15" x14ac:dyDescent="0.25">
      <c r="B49" s="31"/>
      <c r="C49" s="28"/>
      <c r="D49" s="22" t="s">
        <v>117</v>
      </c>
      <c r="E49" s="47">
        <v>10737</v>
      </c>
      <c r="F49" s="50">
        <f t="shared" si="3"/>
        <v>4.218147817853958E-2</v>
      </c>
      <c r="G49" s="50">
        <f t="shared" si="4"/>
        <v>2.017205521247635E-2</v>
      </c>
      <c r="H49" s="52">
        <v>1.4233333333333336</v>
      </c>
      <c r="I49" s="33"/>
      <c r="J49" s="22" t="s">
        <v>121</v>
      </c>
      <c r="K49" s="47">
        <v>413</v>
      </c>
      <c r="L49" s="50">
        <f>+K49/K$54</f>
        <v>6.3072693952351863E-2</v>
      </c>
      <c r="M49" s="52">
        <v>1.2158333333333335</v>
      </c>
      <c r="N49" s="33"/>
      <c r="O49" s="32"/>
    </row>
    <row r="50" spans="2:15" x14ac:dyDescent="0.25">
      <c r="B50" s="31"/>
      <c r="C50" s="28"/>
      <c r="D50" s="22" t="s">
        <v>4</v>
      </c>
      <c r="E50" s="47">
        <f>27612+18</f>
        <v>27630</v>
      </c>
      <c r="F50" s="50">
        <f t="shared" si="3"/>
        <v>0.10854747527922591</v>
      </c>
      <c r="G50" s="50">
        <f t="shared" si="4"/>
        <v>5.1909647529172168E-2</v>
      </c>
      <c r="H50" s="52">
        <v>1.6626960784313725</v>
      </c>
      <c r="I50" s="33"/>
      <c r="J50" s="22" t="s">
        <v>38</v>
      </c>
      <c r="K50" s="47">
        <v>402</v>
      </c>
      <c r="L50" s="50">
        <f>+K50/K$54</f>
        <v>6.1392791692119732E-2</v>
      </c>
      <c r="M50" s="52">
        <v>1.0833333333333333</v>
      </c>
      <c r="N50" s="33"/>
      <c r="O50" s="32"/>
    </row>
    <row r="51" spans="2:15" x14ac:dyDescent="0.25">
      <c r="B51" s="31"/>
      <c r="C51" s="28"/>
      <c r="D51" s="48" t="s">
        <v>30</v>
      </c>
      <c r="E51" s="49">
        <f>SUM(E43:E50)</f>
        <v>254543</v>
      </c>
      <c r="F51" s="51">
        <f t="shared" si="3"/>
        <v>1</v>
      </c>
      <c r="G51" s="50"/>
      <c r="H51" s="28"/>
      <c r="I51" s="33"/>
      <c r="J51" s="22" t="s">
        <v>43</v>
      </c>
      <c r="K51" s="47">
        <v>306</v>
      </c>
      <c r="L51" s="50">
        <f t="shared" si="5"/>
        <v>4.6731826511912031E-2</v>
      </c>
      <c r="M51" s="52">
        <v>1.3618181818181816</v>
      </c>
      <c r="N51" s="33"/>
      <c r="O51" s="32"/>
    </row>
    <row r="52" spans="2:15" x14ac:dyDescent="0.25">
      <c r="B52" s="31"/>
      <c r="C52" s="28"/>
      <c r="D52" s="53" t="s">
        <v>31</v>
      </c>
      <c r="E52" s="39"/>
      <c r="F52" s="22"/>
      <c r="G52" s="50"/>
      <c r="H52" s="28"/>
      <c r="I52" s="33"/>
      <c r="J52" s="22" t="s">
        <v>36</v>
      </c>
      <c r="K52" s="47">
        <v>270</v>
      </c>
      <c r="L52" s="50">
        <f t="shared" si="5"/>
        <v>4.1233964569334147E-2</v>
      </c>
      <c r="M52" s="52">
        <v>1.4183333333333332</v>
      </c>
      <c r="N52" s="33"/>
      <c r="O52" s="32"/>
    </row>
    <row r="53" spans="2:15" x14ac:dyDescent="0.25">
      <c r="B53" s="31"/>
      <c r="C53" s="28"/>
      <c r="D53" s="22" t="s">
        <v>114</v>
      </c>
      <c r="E53" s="47">
        <v>277728</v>
      </c>
      <c r="F53" s="22"/>
      <c r="G53" s="50">
        <f>+E53/E$54</f>
        <v>0.52177931918139442</v>
      </c>
      <c r="H53" s="52">
        <v>1.2058333333333333</v>
      </c>
      <c r="I53" s="33"/>
      <c r="J53" s="22" t="s">
        <v>4</v>
      </c>
      <c r="K53" s="47">
        <f>1892+10</f>
        <v>1902</v>
      </c>
      <c r="L53" s="50">
        <f t="shared" si="5"/>
        <v>0.29047037263286501</v>
      </c>
      <c r="M53" s="52">
        <v>1.3166920657467536</v>
      </c>
      <c r="N53" s="33"/>
      <c r="O53" s="32"/>
    </row>
    <row r="54" spans="2:15" x14ac:dyDescent="0.25">
      <c r="B54" s="31"/>
      <c r="C54" s="28"/>
      <c r="D54" s="48" t="s">
        <v>10</v>
      </c>
      <c r="E54" s="49">
        <f>+E53+E51</f>
        <v>532271</v>
      </c>
      <c r="F54" s="48"/>
      <c r="G54" s="51">
        <f>+E54/E$54</f>
        <v>1</v>
      </c>
      <c r="H54" s="99">
        <v>1.5702000000000005</v>
      </c>
      <c r="I54" s="33"/>
      <c r="J54" s="48" t="s">
        <v>10</v>
      </c>
      <c r="K54" s="49">
        <f>SUM(K43:K53)</f>
        <v>6548</v>
      </c>
      <c r="L54" s="51">
        <f t="shared" si="5"/>
        <v>1</v>
      </c>
      <c r="M54" s="99">
        <v>1.3475942028985508</v>
      </c>
      <c r="N54" s="33"/>
      <c r="O54" s="32"/>
    </row>
    <row r="55" spans="2:15" x14ac:dyDescent="0.25">
      <c r="B55" s="31"/>
      <c r="C55" s="28"/>
      <c r="D55" s="53" t="s">
        <v>32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73" t="s">
        <v>34</v>
      </c>
      <c r="E56" s="173"/>
      <c r="F56" s="173"/>
      <c r="G56" s="173"/>
      <c r="H56" s="173"/>
      <c r="I56" s="173"/>
      <c r="J56" s="173"/>
      <c r="K56" s="173"/>
      <c r="L56" s="173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72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71" t="s">
        <v>67</v>
      </c>
      <c r="F62" s="171"/>
      <c r="G62" s="171"/>
      <c r="H62" s="171"/>
      <c r="I62" s="171"/>
      <c r="J62" s="171"/>
      <c r="K62" s="171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68</v>
      </c>
      <c r="F63" s="20" t="s">
        <v>59</v>
      </c>
      <c r="G63" s="20" t="s">
        <v>62</v>
      </c>
      <c r="H63" s="20" t="s">
        <v>60</v>
      </c>
      <c r="I63" s="20" t="s">
        <v>62</v>
      </c>
      <c r="J63" s="65" t="s">
        <v>61</v>
      </c>
      <c r="K63" s="20" t="s">
        <v>62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66</v>
      </c>
      <c r="F64" s="66">
        <f>SUM(F65:F70)</f>
        <v>25</v>
      </c>
      <c r="G64" s="72">
        <f>+F64/F72</f>
        <v>4.4883303411131059E-2</v>
      </c>
      <c r="H64" s="66">
        <f>SUM(H65:H70)</f>
        <v>629</v>
      </c>
      <c r="I64" s="72">
        <f>+H64/H72</f>
        <v>0.21336499321573948</v>
      </c>
      <c r="J64" s="66">
        <f>SUM(J65:J70)</f>
        <v>1050</v>
      </c>
      <c r="K64" s="72">
        <f>+J64/J72</f>
        <v>0.22570937231298366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54</v>
      </c>
      <c r="F65" s="47">
        <v>5</v>
      </c>
      <c r="G65" s="68">
        <f t="shared" ref="G65:G70" si="6">+F65/F$64</f>
        <v>0.2</v>
      </c>
      <c r="H65" s="47">
        <v>76</v>
      </c>
      <c r="I65" s="68">
        <f t="shared" ref="I65:I70" si="7">+H65/H$64</f>
        <v>0.12082670906200318</v>
      </c>
      <c r="J65" s="47">
        <v>111</v>
      </c>
      <c r="K65" s="68">
        <f t="shared" ref="K65:K70" si="8">+J65/J$64</f>
        <v>0.10571428571428572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55</v>
      </c>
      <c r="F66" s="47">
        <v>12</v>
      </c>
      <c r="G66" s="63">
        <f t="shared" si="6"/>
        <v>0.48</v>
      </c>
      <c r="H66" s="47">
        <v>347</v>
      </c>
      <c r="I66" s="63">
        <f t="shared" si="7"/>
        <v>0.55166931637519878</v>
      </c>
      <c r="J66" s="47">
        <v>540</v>
      </c>
      <c r="K66" s="63">
        <f t="shared" si="8"/>
        <v>0.51428571428571423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56</v>
      </c>
      <c r="F67" s="47">
        <v>6</v>
      </c>
      <c r="G67" s="63">
        <f t="shared" si="6"/>
        <v>0.24</v>
      </c>
      <c r="H67" s="47">
        <v>168</v>
      </c>
      <c r="I67" s="63">
        <f t="shared" si="7"/>
        <v>0.26709062003179651</v>
      </c>
      <c r="J67" s="47">
        <v>327</v>
      </c>
      <c r="K67" s="63">
        <f t="shared" si="8"/>
        <v>0.31142857142857144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57</v>
      </c>
      <c r="F68" s="47">
        <v>0</v>
      </c>
      <c r="G68" s="63">
        <f t="shared" si="6"/>
        <v>0</v>
      </c>
      <c r="H68" s="47">
        <v>0</v>
      </c>
      <c r="I68" s="63">
        <f t="shared" si="7"/>
        <v>0</v>
      </c>
      <c r="J68" s="47">
        <v>0</v>
      </c>
      <c r="K68" s="63">
        <f t="shared" si="8"/>
        <v>0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58</v>
      </c>
      <c r="F69" s="47">
        <v>0</v>
      </c>
      <c r="G69" s="63">
        <f t="shared" si="6"/>
        <v>0</v>
      </c>
      <c r="H69" s="47">
        <v>0</v>
      </c>
      <c r="I69" s="63">
        <f t="shared" si="7"/>
        <v>0</v>
      </c>
      <c r="J69" s="47">
        <v>0</v>
      </c>
      <c r="K69" s="63">
        <f t="shared" si="8"/>
        <v>0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69</v>
      </c>
      <c r="F70" s="47">
        <v>2</v>
      </c>
      <c r="G70" s="63">
        <f t="shared" si="6"/>
        <v>0.08</v>
      </c>
      <c r="H70" s="47">
        <v>38</v>
      </c>
      <c r="I70" s="63">
        <f t="shared" si="7"/>
        <v>6.0413354531001592E-2</v>
      </c>
      <c r="J70" s="47">
        <v>72</v>
      </c>
      <c r="K70" s="63">
        <f t="shared" si="8"/>
        <v>6.8571428571428575E-2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64</v>
      </c>
      <c r="F71" s="70">
        <v>532</v>
      </c>
      <c r="G71" s="73">
        <f>+F71/F72</f>
        <v>0.95511669658886889</v>
      </c>
      <c r="H71" s="70">
        <v>2319</v>
      </c>
      <c r="I71" s="73">
        <f>+H71/H72</f>
        <v>0.78663500678426057</v>
      </c>
      <c r="J71" s="70">
        <v>3602</v>
      </c>
      <c r="K71" s="73">
        <f>+J71/J72</f>
        <v>0.77429062768701629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65</v>
      </c>
      <c r="F72" s="66">
        <f>+F71+F64</f>
        <v>557</v>
      </c>
      <c r="G72" s="67"/>
      <c r="H72" s="66">
        <f>+H71+H64</f>
        <v>2948</v>
      </c>
      <c r="I72" s="67"/>
      <c r="J72" s="66">
        <f>+J71+J64</f>
        <v>4652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79" t="s">
        <v>71</v>
      </c>
      <c r="F73" s="179"/>
      <c r="G73" s="179"/>
      <c r="H73" s="179"/>
      <c r="I73" s="179"/>
      <c r="J73" s="179"/>
      <c r="K73" s="179"/>
      <c r="L73" s="28"/>
      <c r="M73" s="28"/>
      <c r="N73" s="33"/>
      <c r="O73" s="32"/>
    </row>
    <row r="74" spans="2:15" x14ac:dyDescent="0.25">
      <c r="B74" s="31"/>
      <c r="C74" s="28"/>
      <c r="D74" s="28"/>
      <c r="E74" s="179"/>
      <c r="F74" s="179"/>
      <c r="G74" s="179"/>
      <c r="H74" s="179"/>
      <c r="I74" s="179"/>
      <c r="J74" s="179"/>
      <c r="K74" s="179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70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63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2:15" x14ac:dyDescent="0.2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2:15" x14ac:dyDescent="0.2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2:15" x14ac:dyDescent="0.2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2:15" x14ac:dyDescent="0.2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2:15" x14ac:dyDescent="0.2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2:15" x14ac:dyDescent="0.2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2:15" x14ac:dyDescent="0.2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2:15" x14ac:dyDescent="0.2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2:15" x14ac:dyDescent="0.2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2:15" x14ac:dyDescent="0.2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2:15" x14ac:dyDescent="0.2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2:15" x14ac:dyDescent="0.2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2:15" x14ac:dyDescent="0.2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2:15" x14ac:dyDescent="0.2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2:15" x14ac:dyDescent="0.2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2:15" x14ac:dyDescent="0.2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2:15" x14ac:dyDescent="0.2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2:15" x14ac:dyDescent="0.2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2:15" x14ac:dyDescent="0.2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2:15" x14ac:dyDescent="0.2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2:15" x14ac:dyDescent="0.2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2:15" x14ac:dyDescent="0.2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2:15" x14ac:dyDescent="0.2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2:15" x14ac:dyDescent="0.2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2:15" x14ac:dyDescent="0.2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2:15" x14ac:dyDescent="0.2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2:15" x14ac:dyDescent="0.2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2:15" x14ac:dyDescent="0.2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2:15" x14ac:dyDescent="0.2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2:15" x14ac:dyDescent="0.2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2:15" x14ac:dyDescent="0.2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2:15" x14ac:dyDescent="0.2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2:15" x14ac:dyDescent="0.2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2:15" x14ac:dyDescent="0.2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2:15" x14ac:dyDescent="0.2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2:15" x14ac:dyDescent="0.2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2:15" x14ac:dyDescent="0.2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2:15" x14ac:dyDescent="0.2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2:15" x14ac:dyDescent="0.2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2:15" x14ac:dyDescent="0.2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2:15" x14ac:dyDescent="0.2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2:15" x14ac:dyDescent="0.2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2:15" x14ac:dyDescent="0.2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2:15" x14ac:dyDescent="0.2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2:15" x14ac:dyDescent="0.2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2:15" x14ac:dyDescent="0.2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2:15" x14ac:dyDescent="0.2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2:15" x14ac:dyDescent="0.2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2:15" x14ac:dyDescent="0.2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2:15" x14ac:dyDescent="0.2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2:15" x14ac:dyDescent="0.2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2:15" x14ac:dyDescent="0.2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2:15" x14ac:dyDescent="0.2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2:15" x14ac:dyDescent="0.2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</sheetData>
  <mergeCells count="13">
    <mergeCell ref="E62:K62"/>
    <mergeCell ref="E73:K74"/>
    <mergeCell ref="B1:O2"/>
    <mergeCell ref="C7:N8"/>
    <mergeCell ref="F10:L10"/>
    <mergeCell ref="D40:H41"/>
    <mergeCell ref="D56:L56"/>
    <mergeCell ref="J40:M41"/>
    <mergeCell ref="M18:N22"/>
    <mergeCell ref="C27:D30"/>
    <mergeCell ref="F27:L27"/>
    <mergeCell ref="F31:L31"/>
    <mergeCell ref="C36:N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61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4" t="s">
        <v>157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15" ht="1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101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56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215,244.0 arribos de turistas nacionales y extranjeros, mientras que el 2017 los  arribos de turistas extranjeros y nacionales sumaron 439,545.0, representando un  crecimiento promedio anual de 7.4%   en el periodo 2006 – 2016.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32"/>
    </row>
    <row r="8" spans="2:15" x14ac:dyDescent="0.25">
      <c r="B8" s="31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65" t="s">
        <v>102</v>
      </c>
      <c r="G10" s="165"/>
      <c r="H10" s="165"/>
      <c r="I10" s="165"/>
      <c r="J10" s="165"/>
      <c r="K10" s="165"/>
      <c r="L10" s="165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6</v>
      </c>
      <c r="G11" s="19" t="s">
        <v>7</v>
      </c>
      <c r="H11" s="18" t="s">
        <v>8</v>
      </c>
      <c r="I11" s="19" t="s">
        <v>9</v>
      </c>
      <c r="J11" s="18" t="s">
        <v>8</v>
      </c>
      <c r="K11" s="18" t="s">
        <v>10</v>
      </c>
      <c r="L11" s="18" t="s">
        <v>8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127297</v>
      </c>
      <c r="H12" s="42"/>
      <c r="I12" s="25">
        <v>7910</v>
      </c>
      <c r="J12" s="42"/>
      <c r="K12" s="25">
        <f>+I12+G12</f>
        <v>135207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129976</v>
      </c>
      <c r="H13" s="43">
        <f>+G13/G12-1</f>
        <v>2.1045272080253197E-2</v>
      </c>
      <c r="I13" s="25">
        <v>6053</v>
      </c>
      <c r="J13" s="43">
        <f>+I13/I12-1</f>
        <v>-0.23476611883691534</v>
      </c>
      <c r="K13" s="25">
        <f>+I13+G13</f>
        <v>136029</v>
      </c>
      <c r="L13" s="43">
        <f>+K13/K12-1</f>
        <v>6.0795668863298236E-3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142797</v>
      </c>
      <c r="H14" s="43">
        <f t="shared" ref="H14:J26" si="0">+G14/G13-1</f>
        <v>9.8641287622330376E-2</v>
      </c>
      <c r="I14" s="25">
        <v>4667</v>
      </c>
      <c r="J14" s="43">
        <f t="shared" si="0"/>
        <v>-0.22897736659507684</v>
      </c>
      <c r="K14" s="25">
        <f t="shared" ref="K14:K26" si="1">+I14+G14</f>
        <v>147464</v>
      </c>
      <c r="L14" s="43">
        <f t="shared" ref="L14:L26" si="2">+K14/K13-1</f>
        <v>8.4062957163546059E-2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169189</v>
      </c>
      <c r="H15" s="43">
        <f t="shared" si="0"/>
        <v>0.18482180998200248</v>
      </c>
      <c r="I15" s="25">
        <v>5848</v>
      </c>
      <c r="J15" s="43">
        <f t="shared" si="0"/>
        <v>0.25305335333190482</v>
      </c>
      <c r="K15" s="25">
        <f t="shared" si="1"/>
        <v>175037</v>
      </c>
      <c r="L15" s="43">
        <f t="shared" si="2"/>
        <v>0.18698122931698591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209583</v>
      </c>
      <c r="H16" s="43">
        <f t="shared" si="0"/>
        <v>0.23875074620690473</v>
      </c>
      <c r="I16" s="25">
        <v>5661</v>
      </c>
      <c r="J16" s="43">
        <f t="shared" si="0"/>
        <v>-3.1976744186046457E-2</v>
      </c>
      <c r="K16" s="25">
        <f t="shared" si="1"/>
        <v>215244</v>
      </c>
      <c r="L16" s="43">
        <f t="shared" si="2"/>
        <v>0.22970571936219208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238541</v>
      </c>
      <c r="H17" s="43">
        <f t="shared" si="0"/>
        <v>0.13816960345066165</v>
      </c>
      <c r="I17" s="25">
        <v>7331</v>
      </c>
      <c r="J17" s="43">
        <f t="shared" si="0"/>
        <v>0.29500088323617746</v>
      </c>
      <c r="K17" s="25">
        <f t="shared" si="1"/>
        <v>245872</v>
      </c>
      <c r="L17" s="43">
        <f t="shared" si="2"/>
        <v>0.14229432643883211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246558</v>
      </c>
      <c r="H18" s="43">
        <f t="shared" si="0"/>
        <v>3.3608478207100667E-2</v>
      </c>
      <c r="I18" s="25">
        <v>8178</v>
      </c>
      <c r="J18" s="43">
        <f t="shared" si="0"/>
        <v>0.11553676169690363</v>
      </c>
      <c r="K18" s="25">
        <f t="shared" si="1"/>
        <v>254736</v>
      </c>
      <c r="L18" s="43">
        <f t="shared" si="2"/>
        <v>3.605127871412761E-2</v>
      </c>
      <c r="M18" s="181" t="s">
        <v>11</v>
      </c>
      <c r="N18" s="182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223107</v>
      </c>
      <c r="H19" s="43">
        <f t="shared" si="0"/>
        <v>-9.5113522984449861E-2</v>
      </c>
      <c r="I19" s="25">
        <v>7781</v>
      </c>
      <c r="J19" s="43">
        <f t="shared" si="0"/>
        <v>-4.8544876497921274E-2</v>
      </c>
      <c r="K19" s="25">
        <f t="shared" si="1"/>
        <v>230888</v>
      </c>
      <c r="L19" s="43">
        <f t="shared" si="2"/>
        <v>-9.361849130079769E-2</v>
      </c>
      <c r="M19" s="181"/>
      <c r="N19" s="182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258903</v>
      </c>
      <c r="H20" s="43">
        <f t="shared" si="0"/>
        <v>0.16044319541744545</v>
      </c>
      <c r="I20" s="25">
        <v>6972</v>
      </c>
      <c r="J20" s="43">
        <f t="shared" si="0"/>
        <v>-0.10397121192648762</v>
      </c>
      <c r="K20" s="25">
        <f t="shared" si="1"/>
        <v>265875</v>
      </c>
      <c r="L20" s="43">
        <f t="shared" si="2"/>
        <v>0.15153234468660126</v>
      </c>
      <c r="M20" s="181"/>
      <c r="N20" s="182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235706</v>
      </c>
      <c r="H21" s="43">
        <f t="shared" si="0"/>
        <v>-8.9597262295145308E-2</v>
      </c>
      <c r="I21" s="25">
        <v>6288</v>
      </c>
      <c r="J21" s="43">
        <f t="shared" si="0"/>
        <v>-9.8106712564543841E-2</v>
      </c>
      <c r="K21" s="25">
        <f t="shared" si="1"/>
        <v>241994</v>
      </c>
      <c r="L21" s="43">
        <f t="shared" si="2"/>
        <v>-8.9820404325340886E-2</v>
      </c>
      <c r="M21" s="181"/>
      <c r="N21" s="182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260557</v>
      </c>
      <c r="H22" s="43">
        <f t="shared" si="0"/>
        <v>0.10543219094974243</v>
      </c>
      <c r="I22" s="25">
        <v>6583</v>
      </c>
      <c r="J22" s="43">
        <f t="shared" si="0"/>
        <v>4.6914758269720025E-2</v>
      </c>
      <c r="K22" s="25">
        <f t="shared" si="1"/>
        <v>267140</v>
      </c>
      <c r="L22" s="43">
        <f t="shared" si="2"/>
        <v>0.10391166723141887</v>
      </c>
      <c r="M22" s="181"/>
      <c r="N22" s="182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335903</v>
      </c>
      <c r="H23" s="43">
        <f t="shared" si="0"/>
        <v>0.28917281055584776</v>
      </c>
      <c r="I23" s="25">
        <v>7879</v>
      </c>
      <c r="J23" s="43">
        <f t="shared" si="0"/>
        <v>0.19687072763177893</v>
      </c>
      <c r="K23" s="25">
        <f t="shared" si="1"/>
        <v>343782</v>
      </c>
      <c r="L23" s="43">
        <f t="shared" si="2"/>
        <v>0.28689825559631643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397832</v>
      </c>
      <c r="H24" s="43">
        <f t="shared" si="0"/>
        <v>0.18436572462883638</v>
      </c>
      <c r="I24" s="25">
        <v>10358</v>
      </c>
      <c r="J24" s="43">
        <f t="shared" si="0"/>
        <v>0.31463383678131751</v>
      </c>
      <c r="K24" s="25">
        <f t="shared" si="1"/>
        <v>408190</v>
      </c>
      <c r="L24" s="43">
        <f t="shared" si="2"/>
        <v>0.18735128657114108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476519</v>
      </c>
      <c r="H25" s="43">
        <f t="shared" si="0"/>
        <v>0.19778951919403176</v>
      </c>
      <c r="I25" s="25">
        <v>12226</v>
      </c>
      <c r="J25" s="43">
        <f t="shared" si="0"/>
        <v>0.18034369569414954</v>
      </c>
      <c r="K25" s="25">
        <f t="shared" si="1"/>
        <v>488745</v>
      </c>
      <c r="L25" s="43">
        <f t="shared" si="2"/>
        <v>0.19734682378304225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430441</v>
      </c>
      <c r="H26" s="43">
        <f t="shared" si="0"/>
        <v>-9.6697088678520671E-2</v>
      </c>
      <c r="I26" s="25">
        <v>9104</v>
      </c>
      <c r="J26" s="43">
        <f t="shared" si="0"/>
        <v>-0.25535743497464425</v>
      </c>
      <c r="K26" s="25">
        <f t="shared" si="1"/>
        <v>439545</v>
      </c>
      <c r="L26" s="43">
        <f t="shared" si="2"/>
        <v>-0.10066599146794342</v>
      </c>
      <c r="M26" s="45">
        <f>+(K26/K16)^(1/10)-1</f>
        <v>7.4007289449690594E-2</v>
      </c>
      <c r="N26" s="33"/>
      <c r="O26" s="32"/>
    </row>
    <row r="27" spans="2:15" ht="15" customHeight="1" x14ac:dyDescent="0.25">
      <c r="B27" s="31"/>
      <c r="C27" s="180" t="s">
        <v>12</v>
      </c>
      <c r="D27" s="180"/>
      <c r="E27" s="33"/>
      <c r="F27" s="166" t="s">
        <v>13</v>
      </c>
      <c r="G27" s="166"/>
      <c r="H27" s="166"/>
      <c r="I27" s="166"/>
      <c r="J27" s="166"/>
      <c r="K27" s="166"/>
      <c r="L27" s="166"/>
      <c r="M27" s="33"/>
      <c r="N27" s="33"/>
      <c r="O27" s="32"/>
    </row>
    <row r="28" spans="2:15" x14ac:dyDescent="0.25">
      <c r="B28" s="31"/>
      <c r="C28" s="180"/>
      <c r="D28" s="180"/>
      <c r="E28" s="33"/>
      <c r="F28" s="44">
        <v>2007</v>
      </c>
      <c r="G28" s="26">
        <f>+G16/K16</f>
        <v>0.9736996153202877</v>
      </c>
      <c r="H28" s="27"/>
      <c r="I28" s="26">
        <f>+I16/K16</f>
        <v>2.6300384679712328E-2</v>
      </c>
      <c r="J28" s="27"/>
      <c r="K28" s="26">
        <f>+I28+G28</f>
        <v>1</v>
      </c>
      <c r="L28" s="27"/>
      <c r="M28" s="33"/>
      <c r="N28" s="33"/>
      <c r="O28" s="32"/>
    </row>
    <row r="29" spans="2:15" s="9" customFormat="1" x14ac:dyDescent="0.25">
      <c r="B29" s="31"/>
      <c r="C29" s="180"/>
      <c r="D29" s="180"/>
      <c r="E29" s="33"/>
      <c r="F29" s="44">
        <v>2012</v>
      </c>
      <c r="G29" s="26">
        <f>+G21/K21</f>
        <v>0.97401588469135603</v>
      </c>
      <c r="H29" s="27"/>
      <c r="I29" s="26">
        <f>+I21/K21</f>
        <v>2.5984115308644015E-2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0"/>
      <c r="D30" s="180"/>
      <c r="E30" s="33"/>
      <c r="F30" s="44">
        <v>2017</v>
      </c>
      <c r="G30" s="26">
        <f>+G26/K26</f>
        <v>0.97928767247949589</v>
      </c>
      <c r="H30" s="27"/>
      <c r="I30" s="26">
        <f>+I26/K26</f>
        <v>2.0712327520504156E-2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67" t="s">
        <v>14</v>
      </c>
      <c r="G31" s="167"/>
      <c r="H31" s="167"/>
      <c r="I31" s="167"/>
      <c r="J31" s="167"/>
      <c r="K31" s="167"/>
      <c r="L31" s="167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103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56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113,901 arribos en esta región (equivalente al 41.2% de este total), Lima Provincias con 52,758 arribos (19.1%)  y Ica con 23,968 arribos (8.7 %). En tanto  Estados Unidos (Usa) es el principal lugar de procedencia de los huespedes del exterior con 1,532  arribos (equivalente al 16.8 % de los arribos del exterior), le sigue Francia  con  1,337  arribos (14.7 %) y Otro Pais De Europa con 1,233 (13.5 %) entre las principales.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32"/>
    </row>
    <row r="37" spans="2:15" x14ac:dyDescent="0.25">
      <c r="B37" s="31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32"/>
    </row>
    <row r="38" spans="2:15" x14ac:dyDescent="0.25">
      <c r="B38" s="31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71" t="s">
        <v>29</v>
      </c>
      <c r="E40" s="171"/>
      <c r="F40" s="171"/>
      <c r="G40" s="171"/>
      <c r="H40" s="171"/>
      <c r="I40" s="33"/>
      <c r="J40" s="160" t="s">
        <v>53</v>
      </c>
      <c r="K40" s="160"/>
      <c r="L40" s="160"/>
      <c r="M40" s="160"/>
      <c r="N40" s="33"/>
      <c r="O40" s="32"/>
    </row>
    <row r="41" spans="2:15" x14ac:dyDescent="0.25">
      <c r="B41" s="31"/>
      <c r="C41" s="28"/>
      <c r="D41" s="171"/>
      <c r="E41" s="171"/>
      <c r="F41" s="171"/>
      <c r="G41" s="171"/>
      <c r="H41" s="171"/>
      <c r="I41" s="33"/>
      <c r="J41" s="160"/>
      <c r="K41" s="160"/>
      <c r="L41" s="160"/>
      <c r="M41" s="160"/>
      <c r="N41" s="33"/>
      <c r="O41" s="32"/>
    </row>
    <row r="42" spans="2:15" x14ac:dyDescent="0.25">
      <c r="B42" s="31"/>
      <c r="C42" s="60"/>
      <c r="D42" s="20" t="s">
        <v>5</v>
      </c>
      <c r="E42" s="20" t="s">
        <v>15</v>
      </c>
      <c r="F42" s="20" t="s">
        <v>16</v>
      </c>
      <c r="G42" s="20" t="s">
        <v>17</v>
      </c>
      <c r="H42" s="20" t="s">
        <v>33</v>
      </c>
      <c r="I42" s="100"/>
      <c r="J42" s="20" t="s">
        <v>18</v>
      </c>
      <c r="K42" s="20" t="s">
        <v>15</v>
      </c>
      <c r="L42" s="20" t="s">
        <v>17</v>
      </c>
      <c r="M42" s="20" t="s">
        <v>33</v>
      </c>
      <c r="N42" s="33"/>
      <c r="O42" s="32"/>
    </row>
    <row r="43" spans="2:15" x14ac:dyDescent="0.25">
      <c r="B43" s="31"/>
      <c r="C43" s="28"/>
      <c r="D43" s="22" t="s">
        <v>27</v>
      </c>
      <c r="E43" s="47">
        <v>113901</v>
      </c>
      <c r="F43" s="50">
        <f t="shared" ref="F43:F51" si="3">+E43/E$51</f>
        <v>0.41211737462913378</v>
      </c>
      <c r="G43" s="50">
        <f t="shared" ref="G43:G50" si="4">+E43/E$54</f>
        <v>0.2646146626366912</v>
      </c>
      <c r="H43" s="52">
        <v>1.6975</v>
      </c>
      <c r="I43" s="33"/>
      <c r="J43" s="22" t="s">
        <v>35</v>
      </c>
      <c r="K43" s="47">
        <v>1532</v>
      </c>
      <c r="L43" s="50">
        <f t="shared" ref="L43:L54" si="5">+K43/K$54</f>
        <v>0.16827768014059755</v>
      </c>
      <c r="M43" s="52">
        <v>1.7641666666666669</v>
      </c>
      <c r="N43" s="33"/>
      <c r="O43" s="32"/>
    </row>
    <row r="44" spans="2:15" x14ac:dyDescent="0.25">
      <c r="B44" s="31"/>
      <c r="C44" s="28"/>
      <c r="D44" s="22" t="s">
        <v>28</v>
      </c>
      <c r="E44" s="47">
        <v>52758</v>
      </c>
      <c r="F44" s="50">
        <f t="shared" si="3"/>
        <v>0.19088935523554526</v>
      </c>
      <c r="G44" s="50">
        <f t="shared" si="4"/>
        <v>0.12256732049223935</v>
      </c>
      <c r="H44" s="52">
        <v>1.405833333333333</v>
      </c>
      <c r="I44" s="33"/>
      <c r="J44" s="22" t="s">
        <v>20</v>
      </c>
      <c r="K44" s="47">
        <v>1337</v>
      </c>
      <c r="L44" s="50">
        <f t="shared" si="5"/>
        <v>0.1468585237258348</v>
      </c>
      <c r="M44" s="52">
        <v>1.344166666666667</v>
      </c>
      <c r="N44" s="33"/>
      <c r="O44" s="32"/>
    </row>
    <row r="45" spans="2:15" x14ac:dyDescent="0.25">
      <c r="B45" s="31"/>
      <c r="C45" s="28"/>
      <c r="D45" s="22" t="s">
        <v>117</v>
      </c>
      <c r="E45" s="47">
        <v>23968</v>
      </c>
      <c r="F45" s="50">
        <f t="shared" si="3"/>
        <v>8.6721180982704968E-2</v>
      </c>
      <c r="G45" s="50">
        <f t="shared" si="4"/>
        <v>5.5682428021494236E-2</v>
      </c>
      <c r="H45" s="52">
        <v>1.3524999999999998</v>
      </c>
      <c r="I45" s="33"/>
      <c r="J45" s="22" t="s">
        <v>38</v>
      </c>
      <c r="K45" s="47">
        <v>1233</v>
      </c>
      <c r="L45" s="50">
        <f t="shared" si="5"/>
        <v>0.13543497363796134</v>
      </c>
      <c r="M45" s="52">
        <v>1.7283333333333333</v>
      </c>
      <c r="N45" s="33"/>
      <c r="O45" s="32"/>
    </row>
    <row r="46" spans="2:15" x14ac:dyDescent="0.25">
      <c r="B46" s="31"/>
      <c r="C46" s="28"/>
      <c r="D46" s="22" t="s">
        <v>114</v>
      </c>
      <c r="E46" s="47">
        <v>15714</v>
      </c>
      <c r="F46" s="50">
        <f t="shared" si="3"/>
        <v>5.6856501917649613E-2</v>
      </c>
      <c r="G46" s="50">
        <f t="shared" si="4"/>
        <v>3.6506745407616836E-2</v>
      </c>
      <c r="H46" s="52">
        <v>1.4725000000000001</v>
      </c>
      <c r="I46" s="33"/>
      <c r="J46" s="22" t="s">
        <v>21</v>
      </c>
      <c r="K46" s="47">
        <v>859</v>
      </c>
      <c r="L46" s="50">
        <f t="shared" si="5"/>
        <v>9.4354130052724083E-2</v>
      </c>
      <c r="M46" s="52">
        <v>1.7591666666666665</v>
      </c>
      <c r="N46" s="33"/>
      <c r="O46" s="32"/>
    </row>
    <row r="47" spans="2:15" x14ac:dyDescent="0.25">
      <c r="B47" s="31"/>
      <c r="C47" s="28"/>
      <c r="D47" s="22" t="s">
        <v>45</v>
      </c>
      <c r="E47" s="47">
        <v>15419</v>
      </c>
      <c r="F47" s="50">
        <f t="shared" si="3"/>
        <v>5.5789130906722627E-2</v>
      </c>
      <c r="G47" s="50">
        <f t="shared" si="4"/>
        <v>3.5821401771671382E-2</v>
      </c>
      <c r="H47" s="52">
        <v>1.4150000000000003</v>
      </c>
      <c r="I47" s="33"/>
      <c r="J47" s="22" t="s">
        <v>36</v>
      </c>
      <c r="K47" s="47">
        <v>467</v>
      </c>
      <c r="L47" s="50">
        <f t="shared" si="5"/>
        <v>5.1296133567662563E-2</v>
      </c>
      <c r="M47" s="52">
        <v>2.04</v>
      </c>
      <c r="N47" s="33"/>
      <c r="O47" s="32"/>
    </row>
    <row r="48" spans="2:15" x14ac:dyDescent="0.25">
      <c r="B48" s="31"/>
      <c r="C48" s="28"/>
      <c r="D48" s="22" t="s">
        <v>123</v>
      </c>
      <c r="E48" s="47">
        <v>12704</v>
      </c>
      <c r="F48" s="50">
        <f t="shared" si="3"/>
        <v>4.5965699399377669E-2</v>
      </c>
      <c r="G48" s="50">
        <f t="shared" si="4"/>
        <v>2.9513917122207224E-2</v>
      </c>
      <c r="H48" s="52">
        <v>1.4291666666666669</v>
      </c>
      <c r="I48" s="33"/>
      <c r="J48" s="22" t="s">
        <v>44</v>
      </c>
      <c r="K48" s="47">
        <v>386</v>
      </c>
      <c r="L48" s="50">
        <f t="shared" si="5"/>
        <v>4.2398945518453426E-2</v>
      </c>
      <c r="M48" s="52">
        <v>1.79</v>
      </c>
      <c r="N48" s="33"/>
      <c r="O48" s="32"/>
    </row>
    <row r="49" spans="2:15" x14ac:dyDescent="0.25">
      <c r="B49" s="31"/>
      <c r="C49" s="28"/>
      <c r="D49" s="22" t="s">
        <v>116</v>
      </c>
      <c r="E49" s="47">
        <v>11934</v>
      </c>
      <c r="F49" s="50">
        <f t="shared" si="3"/>
        <v>4.3179680150517402E-2</v>
      </c>
      <c r="G49" s="50">
        <f t="shared" si="4"/>
        <v>2.7725054072451277E-2</v>
      </c>
      <c r="H49" s="52">
        <v>1.2241666666666668</v>
      </c>
      <c r="I49" s="33"/>
      <c r="J49" s="22" t="s">
        <v>26</v>
      </c>
      <c r="K49" s="47">
        <v>362</v>
      </c>
      <c r="L49" s="50">
        <f>+K49/K$54</f>
        <v>3.9762741652021087E-2</v>
      </c>
      <c r="M49" s="52">
        <v>2.0083333333333333</v>
      </c>
      <c r="N49" s="33"/>
      <c r="O49" s="32"/>
    </row>
    <row r="50" spans="2:15" x14ac:dyDescent="0.25">
      <c r="B50" s="31"/>
      <c r="C50" s="28"/>
      <c r="D50" s="22" t="s">
        <v>4</v>
      </c>
      <c r="E50" s="47">
        <f>29978+4</f>
        <v>29982</v>
      </c>
      <c r="F50" s="50">
        <f t="shared" si="3"/>
        <v>0.10848107677834865</v>
      </c>
      <c r="G50" s="50">
        <f t="shared" si="4"/>
        <v>6.9654145399717968E-2</v>
      </c>
      <c r="H50" s="52">
        <v>1.7479991087344029</v>
      </c>
      <c r="I50" s="33"/>
      <c r="J50" s="22" t="s">
        <v>25</v>
      </c>
      <c r="K50" s="47">
        <v>290</v>
      </c>
      <c r="L50" s="50">
        <f>+K50/K$54</f>
        <v>3.1854130052724076E-2</v>
      </c>
      <c r="M50" s="52">
        <v>2.2745454545454544</v>
      </c>
      <c r="N50" s="33"/>
      <c r="O50" s="32"/>
    </row>
    <row r="51" spans="2:15" x14ac:dyDescent="0.25">
      <c r="B51" s="31"/>
      <c r="C51" s="28"/>
      <c r="D51" s="48" t="s">
        <v>30</v>
      </c>
      <c r="E51" s="49">
        <f>SUM(E43:E50)</f>
        <v>276380</v>
      </c>
      <c r="F51" s="51">
        <f t="shared" si="3"/>
        <v>1</v>
      </c>
      <c r="G51" s="50"/>
      <c r="H51" s="28"/>
      <c r="I51" s="33"/>
      <c r="J51" s="22" t="s">
        <v>22</v>
      </c>
      <c r="K51" s="47">
        <v>287</v>
      </c>
      <c r="L51" s="50">
        <f t="shared" si="5"/>
        <v>3.1524604569420037E-2</v>
      </c>
      <c r="M51" s="52">
        <v>1.6375</v>
      </c>
      <c r="N51" s="33"/>
      <c r="O51" s="32"/>
    </row>
    <row r="52" spans="2:15" x14ac:dyDescent="0.25">
      <c r="B52" s="31"/>
      <c r="C52" s="28"/>
      <c r="D52" s="53" t="s">
        <v>31</v>
      </c>
      <c r="E52" s="39"/>
      <c r="F52" s="22"/>
      <c r="G52" s="50"/>
      <c r="H52" s="28"/>
      <c r="I52" s="33"/>
      <c r="J52" s="22" t="s">
        <v>41</v>
      </c>
      <c r="K52" s="47">
        <v>234</v>
      </c>
      <c r="L52" s="50">
        <f t="shared" si="5"/>
        <v>2.5702987697715288E-2</v>
      </c>
      <c r="M52" s="52">
        <v>1.9433333333333334</v>
      </c>
      <c r="N52" s="33"/>
      <c r="O52" s="32"/>
    </row>
    <row r="53" spans="2:15" x14ac:dyDescent="0.25">
      <c r="B53" s="31"/>
      <c r="C53" s="28"/>
      <c r="D53" s="22" t="s">
        <v>115</v>
      </c>
      <c r="E53" s="47">
        <v>154061</v>
      </c>
      <c r="F53" s="22"/>
      <c r="G53" s="50">
        <f>+E53/E$54</f>
        <v>0.35791432507591053</v>
      </c>
      <c r="H53" s="52">
        <v>1.2258333333333333</v>
      </c>
      <c r="I53" s="33"/>
      <c r="J53" s="22" t="s">
        <v>4</v>
      </c>
      <c r="K53" s="47">
        <f>2105+12</f>
        <v>2117</v>
      </c>
      <c r="L53" s="50">
        <f t="shared" si="5"/>
        <v>0.23253514938488576</v>
      </c>
      <c r="M53" s="52">
        <v>2.8637177489177486</v>
      </c>
      <c r="N53" s="33"/>
      <c r="O53" s="32"/>
    </row>
    <row r="54" spans="2:15" x14ac:dyDescent="0.25">
      <c r="B54" s="31"/>
      <c r="C54" s="28"/>
      <c r="D54" s="48" t="s">
        <v>10</v>
      </c>
      <c r="E54" s="49">
        <f>+E53+E51</f>
        <v>430441</v>
      </c>
      <c r="F54" s="48"/>
      <c r="G54" s="51">
        <f>+E54/E$54</f>
        <v>1</v>
      </c>
      <c r="H54" s="99">
        <v>1.6373244147157182</v>
      </c>
      <c r="I54" s="33"/>
      <c r="J54" s="48" t="s">
        <v>10</v>
      </c>
      <c r="K54" s="49">
        <f>SUM(K43:K53)</f>
        <v>9104</v>
      </c>
      <c r="L54" s="51">
        <f t="shared" si="5"/>
        <v>1</v>
      </c>
      <c r="M54" s="99">
        <v>2.2624999999999984</v>
      </c>
      <c r="N54" s="33"/>
      <c r="O54" s="32"/>
    </row>
    <row r="55" spans="2:15" x14ac:dyDescent="0.25">
      <c r="B55" s="31"/>
      <c r="C55" s="28"/>
      <c r="D55" s="53" t="s">
        <v>32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73" t="s">
        <v>34</v>
      </c>
      <c r="E56" s="173"/>
      <c r="F56" s="173"/>
      <c r="G56" s="173"/>
      <c r="H56" s="173"/>
      <c r="I56" s="173"/>
      <c r="J56" s="173"/>
      <c r="K56" s="173"/>
      <c r="L56" s="173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72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71" t="s">
        <v>67</v>
      </c>
      <c r="F62" s="171"/>
      <c r="G62" s="171"/>
      <c r="H62" s="171"/>
      <c r="I62" s="171"/>
      <c r="J62" s="171"/>
      <c r="K62" s="171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68</v>
      </c>
      <c r="F63" s="20" t="s">
        <v>59</v>
      </c>
      <c r="G63" s="20" t="s">
        <v>62</v>
      </c>
      <c r="H63" s="20" t="s">
        <v>60</v>
      </c>
      <c r="I63" s="20" t="s">
        <v>62</v>
      </c>
      <c r="J63" s="65" t="s">
        <v>61</v>
      </c>
      <c r="K63" s="20" t="s">
        <v>62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66</v>
      </c>
      <c r="F64" s="66">
        <f>SUM(F65:F70)</f>
        <v>27</v>
      </c>
      <c r="G64" s="72">
        <f>+F64/F72</f>
        <v>6.1926605504587159E-2</v>
      </c>
      <c r="H64" s="66">
        <f>SUM(H65:H70)</f>
        <v>784</v>
      </c>
      <c r="I64" s="72">
        <f>+H64/H72</f>
        <v>0.18932624969814055</v>
      </c>
      <c r="J64" s="66">
        <f>SUM(J65:J70)</f>
        <v>1514</v>
      </c>
      <c r="K64" s="72">
        <f>+J64/J72</f>
        <v>0.21891266628108733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54</v>
      </c>
      <c r="F65" s="47">
        <v>9</v>
      </c>
      <c r="G65" s="68">
        <f t="shared" ref="G65:G70" si="6">+F65/F$64</f>
        <v>0.33333333333333331</v>
      </c>
      <c r="H65" s="47">
        <v>211</v>
      </c>
      <c r="I65" s="68">
        <f t="shared" ref="I65:I70" si="7">+H65/H$64</f>
        <v>0.26913265306122447</v>
      </c>
      <c r="J65" s="47">
        <v>367</v>
      </c>
      <c r="K65" s="68">
        <f t="shared" ref="K65:K70" si="8">+J65/J$64</f>
        <v>0.24240422721268165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55</v>
      </c>
      <c r="F66" s="47">
        <v>9</v>
      </c>
      <c r="G66" s="63">
        <f t="shared" si="6"/>
        <v>0.33333333333333331</v>
      </c>
      <c r="H66" s="47">
        <v>290</v>
      </c>
      <c r="I66" s="63">
        <f t="shared" si="7"/>
        <v>0.36989795918367346</v>
      </c>
      <c r="J66" s="47">
        <v>557</v>
      </c>
      <c r="K66" s="63">
        <f t="shared" si="8"/>
        <v>0.36789960369881108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56</v>
      </c>
      <c r="F67" s="47">
        <v>9</v>
      </c>
      <c r="G67" s="63">
        <f t="shared" si="6"/>
        <v>0.33333333333333331</v>
      </c>
      <c r="H67" s="47">
        <v>283</v>
      </c>
      <c r="I67" s="63">
        <f t="shared" si="7"/>
        <v>0.36096938775510207</v>
      </c>
      <c r="J67" s="47">
        <v>590</v>
      </c>
      <c r="K67" s="63">
        <f t="shared" si="8"/>
        <v>0.38969616908850724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57</v>
      </c>
      <c r="F68" s="47">
        <v>0</v>
      </c>
      <c r="G68" s="63">
        <f t="shared" si="6"/>
        <v>0</v>
      </c>
      <c r="H68" s="47">
        <v>0</v>
      </c>
      <c r="I68" s="63">
        <f t="shared" si="7"/>
        <v>0</v>
      </c>
      <c r="J68" s="47">
        <v>0</v>
      </c>
      <c r="K68" s="63">
        <f t="shared" si="8"/>
        <v>0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58</v>
      </c>
      <c r="F69" s="47">
        <v>0</v>
      </c>
      <c r="G69" s="63">
        <f t="shared" si="6"/>
        <v>0</v>
      </c>
      <c r="H69" s="47">
        <v>0</v>
      </c>
      <c r="I69" s="63">
        <f t="shared" si="7"/>
        <v>0</v>
      </c>
      <c r="J69" s="47">
        <v>0</v>
      </c>
      <c r="K69" s="63">
        <f t="shared" si="8"/>
        <v>0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69</v>
      </c>
      <c r="F70" s="47">
        <v>0</v>
      </c>
      <c r="G70" s="63">
        <f t="shared" si="6"/>
        <v>0</v>
      </c>
      <c r="H70" s="47">
        <v>0</v>
      </c>
      <c r="I70" s="63">
        <f t="shared" si="7"/>
        <v>0</v>
      </c>
      <c r="J70" s="47">
        <v>0</v>
      </c>
      <c r="K70" s="63">
        <f t="shared" si="8"/>
        <v>0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64</v>
      </c>
      <c r="F71" s="70">
        <v>409</v>
      </c>
      <c r="G71" s="73">
        <f>+F71/F72</f>
        <v>0.93807339449541283</v>
      </c>
      <c r="H71" s="70">
        <v>3357</v>
      </c>
      <c r="I71" s="73">
        <f>+H71/H72</f>
        <v>0.81067375030185951</v>
      </c>
      <c r="J71" s="70">
        <v>5402</v>
      </c>
      <c r="K71" s="73">
        <f>+J71/J72</f>
        <v>0.7810873337189127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65</v>
      </c>
      <c r="F72" s="66">
        <f>+F71+F64</f>
        <v>436</v>
      </c>
      <c r="G72" s="67"/>
      <c r="H72" s="66">
        <f>+H71+H64</f>
        <v>4141</v>
      </c>
      <c r="I72" s="67"/>
      <c r="J72" s="66">
        <f>+J71+J64</f>
        <v>6916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79" t="s">
        <v>71</v>
      </c>
      <c r="F73" s="179"/>
      <c r="G73" s="179"/>
      <c r="H73" s="179"/>
      <c r="I73" s="179"/>
      <c r="J73" s="179"/>
      <c r="K73" s="179"/>
      <c r="L73" s="28"/>
      <c r="M73" s="28"/>
      <c r="N73" s="33"/>
      <c r="O73" s="32"/>
    </row>
    <row r="74" spans="2:15" x14ac:dyDescent="0.25">
      <c r="B74" s="31"/>
      <c r="C74" s="28"/>
      <c r="D74" s="28"/>
      <c r="E74" s="179"/>
      <c r="F74" s="179"/>
      <c r="G74" s="179"/>
      <c r="H74" s="179"/>
      <c r="I74" s="179"/>
      <c r="J74" s="179"/>
      <c r="K74" s="179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70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63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47"/>
      <c r="H81" s="47"/>
      <c r="I81" s="47"/>
      <c r="J81" s="47"/>
      <c r="K81" s="47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</sheetData>
  <mergeCells count="13">
    <mergeCell ref="E62:K62"/>
    <mergeCell ref="E73:K74"/>
    <mergeCell ref="B1:O2"/>
    <mergeCell ref="C7:N8"/>
    <mergeCell ref="F10:L10"/>
    <mergeCell ref="D40:H41"/>
    <mergeCell ref="D56:L56"/>
    <mergeCell ref="J40:M41"/>
    <mergeCell ref="M18:N22"/>
    <mergeCell ref="C27:D30"/>
    <mergeCell ref="F27:L27"/>
    <mergeCell ref="F31:L31"/>
    <mergeCell ref="C36:N3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61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4" t="s">
        <v>158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15" ht="1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101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56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88,432.0 arribos de turistas nacionales y extranjeros, mientras que el 2017 los  arribos de turistas extranjeros y nacionales sumaron 215,867.0, representando un  crecimiento promedio anual de 9.3%   en el periodo 2006 – 2016.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32"/>
    </row>
    <row r="8" spans="2:15" x14ac:dyDescent="0.25">
      <c r="B8" s="31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65" t="s">
        <v>102</v>
      </c>
      <c r="G10" s="165"/>
      <c r="H10" s="165"/>
      <c r="I10" s="165"/>
      <c r="J10" s="165"/>
      <c r="K10" s="165"/>
      <c r="L10" s="165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6</v>
      </c>
      <c r="G11" s="19" t="s">
        <v>7</v>
      </c>
      <c r="H11" s="18" t="s">
        <v>8</v>
      </c>
      <c r="I11" s="19" t="s">
        <v>9</v>
      </c>
      <c r="J11" s="18" t="s">
        <v>8</v>
      </c>
      <c r="K11" s="18" t="s">
        <v>10</v>
      </c>
      <c r="L11" s="18" t="s">
        <v>8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61139</v>
      </c>
      <c r="H12" s="42"/>
      <c r="I12" s="25">
        <v>1091</v>
      </c>
      <c r="J12" s="42"/>
      <c r="K12" s="25">
        <f>+I12+G12</f>
        <v>62230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63880</v>
      </c>
      <c r="H13" s="43">
        <f>+G13/G12-1</f>
        <v>4.4832267456124564E-2</v>
      </c>
      <c r="I13" s="25">
        <v>741</v>
      </c>
      <c r="J13" s="43">
        <f>+I13/I12-1</f>
        <v>-0.32080659945004586</v>
      </c>
      <c r="K13" s="25">
        <f>+I13+G13</f>
        <v>64621</v>
      </c>
      <c r="L13" s="43">
        <f>+K13/K12-1</f>
        <v>3.8421982966414969E-2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64413</v>
      </c>
      <c r="H14" s="43">
        <f t="shared" ref="H14:J26" si="0">+G14/G13-1</f>
        <v>8.3437695679398072E-3</v>
      </c>
      <c r="I14" s="25">
        <v>735</v>
      </c>
      <c r="J14" s="43">
        <f t="shared" si="0"/>
        <v>-8.0971659919027994E-3</v>
      </c>
      <c r="K14" s="25">
        <f t="shared" ref="K14:K26" si="1">+I14+G14</f>
        <v>65148</v>
      </c>
      <c r="L14" s="43">
        <f t="shared" ref="L14:L26" si="2">+K14/K13-1</f>
        <v>8.1552436514444882E-3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82956</v>
      </c>
      <c r="H15" s="43">
        <f t="shared" si="0"/>
        <v>0.2878766708583671</v>
      </c>
      <c r="I15" s="25">
        <v>775</v>
      </c>
      <c r="J15" s="43">
        <f t="shared" si="0"/>
        <v>5.4421768707483054E-2</v>
      </c>
      <c r="K15" s="25">
        <f t="shared" si="1"/>
        <v>83731</v>
      </c>
      <c r="L15" s="43">
        <f t="shared" si="2"/>
        <v>0.28524283170626874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87984</v>
      </c>
      <c r="H16" s="43">
        <f t="shared" si="0"/>
        <v>6.0610444090843263E-2</v>
      </c>
      <c r="I16" s="25">
        <v>448</v>
      </c>
      <c r="J16" s="43">
        <f t="shared" si="0"/>
        <v>-0.42193548387096769</v>
      </c>
      <c r="K16" s="25">
        <f t="shared" si="1"/>
        <v>88432</v>
      </c>
      <c r="L16" s="43">
        <f t="shared" si="2"/>
        <v>5.6144080448101708E-2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90592</v>
      </c>
      <c r="H17" s="43">
        <f t="shared" si="0"/>
        <v>2.9641753046008468E-2</v>
      </c>
      <c r="I17" s="25">
        <v>613</v>
      </c>
      <c r="J17" s="43">
        <f t="shared" si="0"/>
        <v>0.3683035714285714</v>
      </c>
      <c r="K17" s="25">
        <f t="shared" si="1"/>
        <v>91205</v>
      </c>
      <c r="L17" s="43">
        <f t="shared" si="2"/>
        <v>3.1357427175682906E-2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99538</v>
      </c>
      <c r="H18" s="43">
        <f t="shared" si="0"/>
        <v>9.8750441540091938E-2</v>
      </c>
      <c r="I18" s="25">
        <v>816</v>
      </c>
      <c r="J18" s="43">
        <f t="shared" si="0"/>
        <v>0.33115823817292012</v>
      </c>
      <c r="K18" s="25">
        <f t="shared" si="1"/>
        <v>100354</v>
      </c>
      <c r="L18" s="43">
        <f t="shared" si="2"/>
        <v>0.10031248286826377</v>
      </c>
      <c r="M18" s="181" t="s">
        <v>11</v>
      </c>
      <c r="N18" s="182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116387</v>
      </c>
      <c r="H19" s="43">
        <f t="shared" si="0"/>
        <v>0.16927203681006242</v>
      </c>
      <c r="I19" s="25">
        <v>588</v>
      </c>
      <c r="J19" s="43">
        <f t="shared" si="0"/>
        <v>-0.27941176470588236</v>
      </c>
      <c r="K19" s="25">
        <f t="shared" si="1"/>
        <v>116975</v>
      </c>
      <c r="L19" s="43">
        <f t="shared" si="2"/>
        <v>0.16562369212986039</v>
      </c>
      <c r="M19" s="181"/>
      <c r="N19" s="182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128586</v>
      </c>
      <c r="H20" s="43">
        <f t="shared" si="0"/>
        <v>0.10481411154166698</v>
      </c>
      <c r="I20" s="25">
        <v>455</v>
      </c>
      <c r="J20" s="43">
        <f t="shared" si="0"/>
        <v>-0.22619047619047616</v>
      </c>
      <c r="K20" s="25">
        <f t="shared" si="1"/>
        <v>129041</v>
      </c>
      <c r="L20" s="43">
        <f t="shared" si="2"/>
        <v>0.10315024577901255</v>
      </c>
      <c r="M20" s="181"/>
      <c r="N20" s="182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159526</v>
      </c>
      <c r="H21" s="43">
        <f t="shared" si="0"/>
        <v>0.24061717449800124</v>
      </c>
      <c r="I21" s="25">
        <v>1001</v>
      </c>
      <c r="J21" s="43">
        <f t="shared" si="0"/>
        <v>1.2000000000000002</v>
      </c>
      <c r="K21" s="25">
        <f t="shared" si="1"/>
        <v>160527</v>
      </c>
      <c r="L21" s="43">
        <f t="shared" si="2"/>
        <v>0.24399996900210019</v>
      </c>
      <c r="M21" s="181"/>
      <c r="N21" s="182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152179</v>
      </c>
      <c r="H22" s="43">
        <f t="shared" si="0"/>
        <v>-4.6055188495919164E-2</v>
      </c>
      <c r="I22" s="25">
        <v>901</v>
      </c>
      <c r="J22" s="43">
        <f t="shared" si="0"/>
        <v>-9.9900099900099848E-2</v>
      </c>
      <c r="K22" s="25">
        <f t="shared" si="1"/>
        <v>153080</v>
      </c>
      <c r="L22" s="43">
        <f t="shared" si="2"/>
        <v>-4.639094980906644E-2</v>
      </c>
      <c r="M22" s="181"/>
      <c r="N22" s="182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159807</v>
      </c>
      <c r="H23" s="43">
        <f t="shared" si="0"/>
        <v>5.0125181529645957E-2</v>
      </c>
      <c r="I23" s="25">
        <v>1191</v>
      </c>
      <c r="J23" s="43">
        <f t="shared" si="0"/>
        <v>0.32186459489456154</v>
      </c>
      <c r="K23" s="25">
        <f t="shared" si="1"/>
        <v>160998</v>
      </c>
      <c r="L23" s="43">
        <f t="shared" si="2"/>
        <v>5.1724588450483333E-2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179585</v>
      </c>
      <c r="H24" s="43">
        <f t="shared" si="0"/>
        <v>0.12376178765636059</v>
      </c>
      <c r="I24" s="25">
        <v>757</v>
      </c>
      <c r="J24" s="43">
        <f t="shared" si="0"/>
        <v>-0.36439966414777503</v>
      </c>
      <c r="K24" s="25">
        <f t="shared" si="1"/>
        <v>180342</v>
      </c>
      <c r="L24" s="43">
        <f t="shared" si="2"/>
        <v>0.12015056087653253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221608</v>
      </c>
      <c r="H25" s="43">
        <f t="shared" si="0"/>
        <v>0.23400061252331761</v>
      </c>
      <c r="I25" s="25">
        <v>1052</v>
      </c>
      <c r="J25" s="43">
        <f t="shared" si="0"/>
        <v>0.38969616908850724</v>
      </c>
      <c r="K25" s="25">
        <f t="shared" si="1"/>
        <v>222660</v>
      </c>
      <c r="L25" s="43">
        <f t="shared" si="2"/>
        <v>0.23465415710150705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214521</v>
      </c>
      <c r="H26" s="43">
        <f t="shared" si="0"/>
        <v>-3.1979892422656198E-2</v>
      </c>
      <c r="I26" s="25">
        <v>1346</v>
      </c>
      <c r="J26" s="43">
        <f t="shared" si="0"/>
        <v>0.27946768060836491</v>
      </c>
      <c r="K26" s="25">
        <f t="shared" si="1"/>
        <v>215867</v>
      </c>
      <c r="L26" s="43">
        <f t="shared" si="2"/>
        <v>-3.0508398455043606E-2</v>
      </c>
      <c r="M26" s="45">
        <f>+(K26/K16)^(1/10)-1</f>
        <v>9.3346152187155695E-2</v>
      </c>
      <c r="N26" s="33"/>
      <c r="O26" s="32"/>
    </row>
    <row r="27" spans="2:15" ht="15" customHeight="1" x14ac:dyDescent="0.25">
      <c r="B27" s="31"/>
      <c r="C27" s="180" t="s">
        <v>12</v>
      </c>
      <c r="D27" s="180"/>
      <c r="E27" s="33"/>
      <c r="F27" s="166" t="s">
        <v>13</v>
      </c>
      <c r="G27" s="166"/>
      <c r="H27" s="166"/>
      <c r="I27" s="166"/>
      <c r="J27" s="166"/>
      <c r="K27" s="166"/>
      <c r="L27" s="166"/>
      <c r="M27" s="33"/>
      <c r="N27" s="33"/>
      <c r="O27" s="32"/>
    </row>
    <row r="28" spans="2:15" x14ac:dyDescent="0.25">
      <c r="B28" s="31"/>
      <c r="C28" s="180"/>
      <c r="D28" s="180"/>
      <c r="E28" s="33"/>
      <c r="F28" s="44">
        <v>2007</v>
      </c>
      <c r="G28" s="26">
        <f>+G16/K16</f>
        <v>0.99493396055726435</v>
      </c>
      <c r="H28" s="27"/>
      <c r="I28" s="26">
        <f>+I16/K16</f>
        <v>5.0660394427356611E-3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0"/>
      <c r="D29" s="180"/>
      <c r="E29" s="33"/>
      <c r="F29" s="44">
        <v>2012</v>
      </c>
      <c r="G29" s="26">
        <f>+G21/K21</f>
        <v>0.99376428887352286</v>
      </c>
      <c r="H29" s="27"/>
      <c r="I29" s="26">
        <f>+I21/K21</f>
        <v>6.2357111264771661E-3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0"/>
      <c r="D30" s="180"/>
      <c r="E30" s="33"/>
      <c r="F30" s="44">
        <v>2017</v>
      </c>
      <c r="G30" s="26">
        <f>+G26/K26</f>
        <v>0.99376467917745648</v>
      </c>
      <c r="H30" s="27"/>
      <c r="I30" s="26">
        <f>+I26/K26</f>
        <v>6.2353208225435107E-3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67" t="s">
        <v>14</v>
      </c>
      <c r="G31" s="167"/>
      <c r="H31" s="167"/>
      <c r="I31" s="167"/>
      <c r="J31" s="167"/>
      <c r="K31" s="167"/>
      <c r="L31" s="167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103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56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Junín con 50,407 arribos en esta región (equivalente al 39.9% de este total), Lima Metropolitana Y Callao con 32,259 arribos (25.5%)  y Lima Provincias con 12,835 arribos (10.2 %). En tanto  Estados Unidos (Usa) es el principal lugar de procedencia de los huespedes del exterior con 307  arribos (equivalente al 22.8 % de los arribos del exterior), le sigue Francia  con  185  arribos (13.7 %) y Alemania con 119 (8.8 %) entre las principales.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32"/>
    </row>
    <row r="37" spans="2:15" x14ac:dyDescent="0.25">
      <c r="B37" s="31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32"/>
    </row>
    <row r="38" spans="2:15" x14ac:dyDescent="0.25">
      <c r="B38" s="31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71" t="s">
        <v>29</v>
      </c>
      <c r="E40" s="171"/>
      <c r="F40" s="171"/>
      <c r="G40" s="171"/>
      <c r="H40" s="171"/>
      <c r="I40" s="33"/>
      <c r="J40" s="160" t="s">
        <v>53</v>
      </c>
      <c r="K40" s="160"/>
      <c r="L40" s="160"/>
      <c r="M40" s="160"/>
      <c r="N40" s="33"/>
      <c r="O40" s="32"/>
    </row>
    <row r="41" spans="2:15" x14ac:dyDescent="0.25">
      <c r="B41" s="31"/>
      <c r="C41" s="28"/>
      <c r="D41" s="171"/>
      <c r="E41" s="171"/>
      <c r="F41" s="171"/>
      <c r="G41" s="171"/>
      <c r="H41" s="171"/>
      <c r="I41" s="33"/>
      <c r="J41" s="160"/>
      <c r="K41" s="160"/>
      <c r="L41" s="160"/>
      <c r="M41" s="160"/>
      <c r="N41" s="33"/>
      <c r="O41" s="32"/>
    </row>
    <row r="42" spans="2:15" x14ac:dyDescent="0.25">
      <c r="B42" s="31"/>
      <c r="C42" s="60"/>
      <c r="D42" s="20" t="s">
        <v>5</v>
      </c>
      <c r="E42" s="20" t="s">
        <v>15</v>
      </c>
      <c r="F42" s="20" t="s">
        <v>16</v>
      </c>
      <c r="G42" s="20" t="s">
        <v>17</v>
      </c>
      <c r="H42" s="20" t="s">
        <v>33</v>
      </c>
      <c r="I42" s="100"/>
      <c r="J42" s="20" t="s">
        <v>18</v>
      </c>
      <c r="K42" s="20" t="s">
        <v>15</v>
      </c>
      <c r="L42" s="20" t="s">
        <v>17</v>
      </c>
      <c r="M42" s="20" t="s">
        <v>33</v>
      </c>
      <c r="N42" s="33"/>
      <c r="O42" s="32"/>
    </row>
    <row r="43" spans="2:15" x14ac:dyDescent="0.25">
      <c r="B43" s="31"/>
      <c r="C43" s="28"/>
      <c r="D43" s="22" t="s">
        <v>45</v>
      </c>
      <c r="E43" s="47">
        <v>50407</v>
      </c>
      <c r="F43" s="50">
        <f t="shared" ref="F43:F51" si="3">+E43/E$51</f>
        <v>0.39902947975048286</v>
      </c>
      <c r="G43" s="50">
        <f t="shared" ref="G43:G50" si="4">+E43/E$54</f>
        <v>0.23497466448506207</v>
      </c>
      <c r="H43" s="52">
        <v>1.1108333333333331</v>
      </c>
      <c r="I43" s="33"/>
      <c r="J43" s="22" t="s">
        <v>35</v>
      </c>
      <c r="K43" s="47">
        <v>307</v>
      </c>
      <c r="L43" s="50">
        <f t="shared" ref="L43:L54" si="5">+K43/K$54</f>
        <v>0.22808320950965824</v>
      </c>
      <c r="M43" s="52">
        <v>1.0736363636363637</v>
      </c>
      <c r="N43" s="33"/>
      <c r="O43" s="32"/>
    </row>
    <row r="44" spans="2:15" x14ac:dyDescent="0.25">
      <c r="B44" s="31"/>
      <c r="C44" s="28"/>
      <c r="D44" s="22" t="s">
        <v>27</v>
      </c>
      <c r="E44" s="47">
        <v>32259</v>
      </c>
      <c r="F44" s="50">
        <f t="shared" si="3"/>
        <v>0.25536715113517622</v>
      </c>
      <c r="G44" s="50">
        <f t="shared" si="4"/>
        <v>0.15037688617897549</v>
      </c>
      <c r="H44" s="52">
        <v>1.2441666666666666</v>
      </c>
      <c r="I44" s="33"/>
      <c r="J44" s="22" t="s">
        <v>20</v>
      </c>
      <c r="K44" s="47">
        <v>185</v>
      </c>
      <c r="L44" s="50">
        <f t="shared" si="5"/>
        <v>0.13744427934621101</v>
      </c>
      <c r="M44" s="52">
        <v>1.24</v>
      </c>
      <c r="N44" s="33"/>
      <c r="O44" s="32"/>
    </row>
    <row r="45" spans="2:15" x14ac:dyDescent="0.25">
      <c r="B45" s="31"/>
      <c r="C45" s="28"/>
      <c r="D45" s="22" t="s">
        <v>28</v>
      </c>
      <c r="E45" s="47">
        <v>12835</v>
      </c>
      <c r="F45" s="50">
        <f t="shared" si="3"/>
        <v>0.10160381241885943</v>
      </c>
      <c r="G45" s="50">
        <f t="shared" si="4"/>
        <v>5.9830972259126147E-2</v>
      </c>
      <c r="H45" s="52">
        <v>1.1783333333333335</v>
      </c>
      <c r="I45" s="33"/>
      <c r="J45" s="22" t="s">
        <v>21</v>
      </c>
      <c r="K45" s="47">
        <v>119</v>
      </c>
      <c r="L45" s="50">
        <f t="shared" si="5"/>
        <v>8.8410104011887078E-2</v>
      </c>
      <c r="M45" s="52">
        <v>1.2175</v>
      </c>
      <c r="N45" s="33"/>
      <c r="O45" s="32"/>
    </row>
    <row r="46" spans="2:15" x14ac:dyDescent="0.25">
      <c r="B46" s="31"/>
      <c r="C46" s="28"/>
      <c r="D46" s="22" t="s">
        <v>115</v>
      </c>
      <c r="E46" s="47">
        <v>12801</v>
      </c>
      <c r="F46" s="50">
        <f t="shared" si="3"/>
        <v>0.10133466324688896</v>
      </c>
      <c r="G46" s="50">
        <f t="shared" si="4"/>
        <v>5.967247961738012E-2</v>
      </c>
      <c r="H46" s="52">
        <v>1.1233333333333333</v>
      </c>
      <c r="I46" s="33"/>
      <c r="J46" s="22" t="s">
        <v>25</v>
      </c>
      <c r="K46" s="47">
        <v>92</v>
      </c>
      <c r="L46" s="50">
        <f t="shared" si="5"/>
        <v>6.8350668647845461E-2</v>
      </c>
      <c r="M46" s="52">
        <v>1.2745454545454544</v>
      </c>
      <c r="N46" s="33"/>
      <c r="O46" s="32"/>
    </row>
    <row r="47" spans="2:15" x14ac:dyDescent="0.25">
      <c r="B47" s="31"/>
      <c r="C47" s="28"/>
      <c r="D47" s="22" t="s">
        <v>117</v>
      </c>
      <c r="E47" s="47">
        <v>10006</v>
      </c>
      <c r="F47" s="50">
        <f t="shared" si="3"/>
        <v>7.9209018080491439E-2</v>
      </c>
      <c r="G47" s="50">
        <f t="shared" si="4"/>
        <v>4.664345215619916E-2</v>
      </c>
      <c r="H47" s="52">
        <v>1.1250000000000002</v>
      </c>
      <c r="I47" s="33"/>
      <c r="J47" s="22" t="s">
        <v>36</v>
      </c>
      <c r="K47" s="47">
        <v>75</v>
      </c>
      <c r="L47" s="50">
        <f t="shared" si="5"/>
        <v>5.5720653789004461E-2</v>
      </c>
      <c r="M47" s="52">
        <v>1.8416666666666668</v>
      </c>
      <c r="N47" s="33"/>
      <c r="O47" s="32"/>
    </row>
    <row r="48" spans="2:15" x14ac:dyDescent="0.25">
      <c r="B48" s="31"/>
      <c r="C48" s="28"/>
      <c r="D48" s="22" t="s">
        <v>42</v>
      </c>
      <c r="E48" s="47">
        <v>1124</v>
      </c>
      <c r="F48" s="50">
        <f t="shared" si="3"/>
        <v>8.8977549792596811E-3</v>
      </c>
      <c r="G48" s="50">
        <f t="shared" si="4"/>
        <v>5.2395802741922702E-3</v>
      </c>
      <c r="H48" s="52">
        <v>1.1616666666666668</v>
      </c>
      <c r="I48" s="33"/>
      <c r="J48" s="22" t="s">
        <v>43</v>
      </c>
      <c r="K48" s="47">
        <v>71</v>
      </c>
      <c r="L48" s="50">
        <f t="shared" si="5"/>
        <v>5.274888558692422E-2</v>
      </c>
      <c r="M48" s="52">
        <v>1.3266666666666667</v>
      </c>
      <c r="N48" s="33"/>
      <c r="O48" s="32"/>
    </row>
    <row r="49" spans="2:15" x14ac:dyDescent="0.25">
      <c r="B49" s="31"/>
      <c r="C49" s="28"/>
      <c r="D49" s="22" t="s">
        <v>46</v>
      </c>
      <c r="E49" s="47">
        <v>1037</v>
      </c>
      <c r="F49" s="50">
        <f t="shared" si="3"/>
        <v>8.2090497450999014E-3</v>
      </c>
      <c r="G49" s="50">
        <f t="shared" si="4"/>
        <v>4.8340255732539006E-3</v>
      </c>
      <c r="H49" s="52">
        <v>1.1766666666666665</v>
      </c>
      <c r="I49" s="33"/>
      <c r="J49" s="22" t="s">
        <v>41</v>
      </c>
      <c r="K49" s="47">
        <v>69</v>
      </c>
      <c r="L49" s="50">
        <f>+K49/K$54</f>
        <v>5.1263001485884099E-2</v>
      </c>
      <c r="M49" s="52">
        <v>1.2124999999999999</v>
      </c>
      <c r="N49" s="33"/>
      <c r="O49" s="32"/>
    </row>
    <row r="50" spans="2:15" x14ac:dyDescent="0.25">
      <c r="B50" s="31"/>
      <c r="C50" s="28"/>
      <c r="D50" s="22" t="s">
        <v>4</v>
      </c>
      <c r="E50" s="47">
        <f>5852+3</f>
        <v>5855</v>
      </c>
      <c r="F50" s="50">
        <f t="shared" si="3"/>
        <v>4.634907064374149E-2</v>
      </c>
      <c r="G50" s="50">
        <f t="shared" si="4"/>
        <v>2.7293365218323613E-2</v>
      </c>
      <c r="H50" s="52">
        <v>1.2360294117647057</v>
      </c>
      <c r="I50" s="33"/>
      <c r="J50" s="22" t="s">
        <v>38</v>
      </c>
      <c r="K50" s="47">
        <v>69</v>
      </c>
      <c r="L50" s="50">
        <f>+K50/K$54</f>
        <v>5.1263001485884099E-2</v>
      </c>
      <c r="M50" s="52">
        <v>1.264</v>
      </c>
      <c r="N50" s="33"/>
      <c r="O50" s="32"/>
    </row>
    <row r="51" spans="2:15" x14ac:dyDescent="0.25">
      <c r="B51" s="31"/>
      <c r="C51" s="28"/>
      <c r="D51" s="48" t="s">
        <v>30</v>
      </c>
      <c r="E51" s="49">
        <f>SUM(E43:E50)</f>
        <v>126324</v>
      </c>
      <c r="F51" s="51">
        <f t="shared" si="3"/>
        <v>1</v>
      </c>
      <c r="G51" s="50"/>
      <c r="H51" s="28"/>
      <c r="I51" s="33"/>
      <c r="J51" s="22" t="s">
        <v>44</v>
      </c>
      <c r="K51" s="47">
        <v>43</v>
      </c>
      <c r="L51" s="50">
        <f t="shared" si="5"/>
        <v>3.1946508172362553E-2</v>
      </c>
      <c r="M51" s="52">
        <v>1.4527272727272729</v>
      </c>
      <c r="N51" s="33"/>
      <c r="O51" s="32"/>
    </row>
    <row r="52" spans="2:15" x14ac:dyDescent="0.25">
      <c r="B52" s="31"/>
      <c r="C52" s="28"/>
      <c r="D52" s="53" t="s">
        <v>31</v>
      </c>
      <c r="E52" s="39"/>
      <c r="F52" s="22"/>
      <c r="G52" s="50"/>
      <c r="H52" s="28"/>
      <c r="I52" s="33"/>
      <c r="J52" s="22" t="s">
        <v>26</v>
      </c>
      <c r="K52" s="47">
        <v>39</v>
      </c>
      <c r="L52" s="50">
        <f t="shared" si="5"/>
        <v>2.8974739970282319E-2</v>
      </c>
      <c r="M52" s="52">
        <v>1</v>
      </c>
      <c r="N52" s="33"/>
      <c r="O52" s="32"/>
    </row>
    <row r="53" spans="2:15" x14ac:dyDescent="0.25">
      <c r="B53" s="31"/>
      <c r="C53" s="28"/>
      <c r="D53" s="22" t="s">
        <v>116</v>
      </c>
      <c r="E53" s="47">
        <v>88197</v>
      </c>
      <c r="F53" s="22"/>
      <c r="G53" s="50">
        <f>+E53/E$54</f>
        <v>0.41113457423748723</v>
      </c>
      <c r="H53" s="52">
        <v>1.07</v>
      </c>
      <c r="I53" s="33"/>
      <c r="J53" s="22" t="s">
        <v>4</v>
      </c>
      <c r="K53" s="47">
        <f>266+11</f>
        <v>277</v>
      </c>
      <c r="L53" s="50">
        <f t="shared" si="5"/>
        <v>0.20579494799405645</v>
      </c>
      <c r="M53" s="52">
        <v>1.4039562289562291</v>
      </c>
      <c r="N53" s="33"/>
      <c r="O53" s="32"/>
    </row>
    <row r="54" spans="2:15" x14ac:dyDescent="0.25">
      <c r="B54" s="31"/>
      <c r="C54" s="28"/>
      <c r="D54" s="48" t="s">
        <v>10</v>
      </c>
      <c r="E54" s="49">
        <f>+E53+E51</f>
        <v>214521</v>
      </c>
      <c r="F54" s="48"/>
      <c r="G54" s="51">
        <f>+E54/E$54</f>
        <v>1</v>
      </c>
      <c r="H54" s="99">
        <v>1.2096180555555556</v>
      </c>
      <c r="I54" s="33"/>
      <c r="J54" s="48" t="s">
        <v>10</v>
      </c>
      <c r="K54" s="49">
        <f>SUM(K43:K53)</f>
        <v>1346</v>
      </c>
      <c r="L54" s="51">
        <f t="shared" si="5"/>
        <v>1</v>
      </c>
      <c r="M54" s="99">
        <v>1.3786458333333336</v>
      </c>
      <c r="N54" s="33"/>
      <c r="O54" s="32"/>
    </row>
    <row r="55" spans="2:15" x14ac:dyDescent="0.25">
      <c r="B55" s="31"/>
      <c r="C55" s="28"/>
      <c r="D55" s="53" t="s">
        <v>32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73" t="s">
        <v>34</v>
      </c>
      <c r="E56" s="173"/>
      <c r="F56" s="173"/>
      <c r="G56" s="173"/>
      <c r="H56" s="173"/>
      <c r="I56" s="173"/>
      <c r="J56" s="173"/>
      <c r="K56" s="173"/>
      <c r="L56" s="173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72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71" t="s">
        <v>67</v>
      </c>
      <c r="F62" s="171"/>
      <c r="G62" s="171"/>
      <c r="H62" s="171"/>
      <c r="I62" s="171"/>
      <c r="J62" s="171"/>
      <c r="K62" s="171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68</v>
      </c>
      <c r="F63" s="20" t="s">
        <v>59</v>
      </c>
      <c r="G63" s="20" t="s">
        <v>62</v>
      </c>
      <c r="H63" s="20" t="s">
        <v>60</v>
      </c>
      <c r="I63" s="20" t="s">
        <v>62</v>
      </c>
      <c r="J63" s="65" t="s">
        <v>61</v>
      </c>
      <c r="K63" s="20" t="s">
        <v>62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66</v>
      </c>
      <c r="F64" s="66">
        <f>SUM(F65:F70)</f>
        <v>6</v>
      </c>
      <c r="G64" s="72">
        <f>+F64/F72</f>
        <v>3.8216560509554139E-2</v>
      </c>
      <c r="H64" s="66">
        <f>SUM(H65:H70)</f>
        <v>122</v>
      </c>
      <c r="I64" s="72">
        <f>+H64/H72</f>
        <v>6.3508589276418531E-2</v>
      </c>
      <c r="J64" s="66">
        <f>SUM(J65:J70)</f>
        <v>182</v>
      </c>
      <c r="K64" s="72">
        <f>+J64/J72</f>
        <v>6.2585969738651992E-2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54</v>
      </c>
      <c r="F65" s="47">
        <v>1</v>
      </c>
      <c r="G65" s="68">
        <f t="shared" ref="G65:G70" si="6">+F65/F$64</f>
        <v>0.16666666666666666</v>
      </c>
      <c r="H65" s="47">
        <v>17</v>
      </c>
      <c r="I65" s="68">
        <f t="shared" ref="I65:I70" si="7">+H65/H$64</f>
        <v>0.13934426229508196</v>
      </c>
      <c r="J65" s="47">
        <v>21</v>
      </c>
      <c r="K65" s="68">
        <f t="shared" ref="K65:K70" si="8">+J65/J$64</f>
        <v>0.11538461538461539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55</v>
      </c>
      <c r="F66" s="47">
        <v>2</v>
      </c>
      <c r="G66" s="63">
        <f t="shared" si="6"/>
        <v>0.33333333333333331</v>
      </c>
      <c r="H66" s="47">
        <v>28</v>
      </c>
      <c r="I66" s="63">
        <f t="shared" si="7"/>
        <v>0.22950819672131148</v>
      </c>
      <c r="J66" s="47">
        <v>42</v>
      </c>
      <c r="K66" s="63">
        <f t="shared" si="8"/>
        <v>0.23076923076923078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56</v>
      </c>
      <c r="F67" s="47">
        <v>3</v>
      </c>
      <c r="G67" s="63">
        <f t="shared" si="6"/>
        <v>0.5</v>
      </c>
      <c r="H67" s="47">
        <v>77</v>
      </c>
      <c r="I67" s="63">
        <f t="shared" si="7"/>
        <v>0.63114754098360659</v>
      </c>
      <c r="J67" s="47">
        <v>119</v>
      </c>
      <c r="K67" s="63">
        <f t="shared" si="8"/>
        <v>0.65384615384615385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57</v>
      </c>
      <c r="F68" s="47">
        <v>0</v>
      </c>
      <c r="G68" s="63">
        <f t="shared" si="6"/>
        <v>0</v>
      </c>
      <c r="H68" s="47">
        <v>0</v>
      </c>
      <c r="I68" s="63">
        <f t="shared" si="7"/>
        <v>0</v>
      </c>
      <c r="J68" s="47">
        <v>0</v>
      </c>
      <c r="K68" s="63">
        <f t="shared" si="8"/>
        <v>0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58</v>
      </c>
      <c r="F69" s="47">
        <v>0</v>
      </c>
      <c r="G69" s="63">
        <f t="shared" si="6"/>
        <v>0</v>
      </c>
      <c r="H69" s="47">
        <v>0</v>
      </c>
      <c r="I69" s="63">
        <f t="shared" si="7"/>
        <v>0</v>
      </c>
      <c r="J69" s="47">
        <v>0</v>
      </c>
      <c r="K69" s="63">
        <f t="shared" si="8"/>
        <v>0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69</v>
      </c>
      <c r="F70" s="47">
        <v>0</v>
      </c>
      <c r="G70" s="63">
        <f t="shared" si="6"/>
        <v>0</v>
      </c>
      <c r="H70" s="47">
        <v>0</v>
      </c>
      <c r="I70" s="63">
        <f t="shared" si="7"/>
        <v>0</v>
      </c>
      <c r="J70" s="47">
        <v>0</v>
      </c>
      <c r="K70" s="63">
        <f t="shared" si="8"/>
        <v>0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64</v>
      </c>
      <c r="F71" s="70">
        <v>151</v>
      </c>
      <c r="G71" s="73">
        <f>+F71/F72</f>
        <v>0.96178343949044587</v>
      </c>
      <c r="H71" s="70">
        <v>1799</v>
      </c>
      <c r="I71" s="73">
        <f>+H71/H72</f>
        <v>0.93649141072358144</v>
      </c>
      <c r="J71" s="70">
        <v>2726</v>
      </c>
      <c r="K71" s="73">
        <f>+J71/J72</f>
        <v>0.93741403026134795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65</v>
      </c>
      <c r="F72" s="66">
        <f>+F71+F64</f>
        <v>157</v>
      </c>
      <c r="G72" s="67"/>
      <c r="H72" s="66">
        <f>+H71+H64</f>
        <v>1921</v>
      </c>
      <c r="I72" s="67"/>
      <c r="J72" s="66">
        <f>+J71+J64</f>
        <v>2908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79" t="s">
        <v>71</v>
      </c>
      <c r="F73" s="179"/>
      <c r="G73" s="179"/>
      <c r="H73" s="179"/>
      <c r="I73" s="179"/>
      <c r="J73" s="179"/>
      <c r="K73" s="179"/>
      <c r="L73" s="28"/>
      <c r="M73" s="28"/>
      <c r="N73" s="33"/>
      <c r="O73" s="32"/>
    </row>
    <row r="74" spans="2:15" x14ac:dyDescent="0.25">
      <c r="B74" s="31"/>
      <c r="C74" s="28"/>
      <c r="D74" s="28"/>
      <c r="E74" s="179"/>
      <c r="F74" s="179"/>
      <c r="G74" s="179"/>
      <c r="H74" s="179"/>
      <c r="I74" s="179"/>
      <c r="J74" s="179"/>
      <c r="K74" s="179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70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63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</sheetData>
  <mergeCells count="13">
    <mergeCell ref="E62:K62"/>
    <mergeCell ref="E73:K74"/>
    <mergeCell ref="B1:O2"/>
    <mergeCell ref="C7:N8"/>
    <mergeCell ref="F10:L10"/>
    <mergeCell ref="D40:H41"/>
    <mergeCell ref="D56:L56"/>
    <mergeCell ref="J40:M41"/>
    <mergeCell ref="M18:N22"/>
    <mergeCell ref="C27:D30"/>
    <mergeCell ref="F27:L27"/>
    <mergeCell ref="F31:L31"/>
    <mergeCell ref="C36:N3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4" t="s">
        <v>159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15" ht="1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101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56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354,693.0 arribos de turistas nacionales y extranjeros, mientras que el 2017 los  arribos de turistas extranjeros y nacionales sumaron 802,072.0, representando un  crecimiento promedio anual de 8.5%   en el periodo 2006 – 2016.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32"/>
    </row>
    <row r="8" spans="2:15" x14ac:dyDescent="0.25">
      <c r="B8" s="31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65" t="s">
        <v>102</v>
      </c>
      <c r="G10" s="165"/>
      <c r="H10" s="165"/>
      <c r="I10" s="165"/>
      <c r="J10" s="165"/>
      <c r="K10" s="165"/>
      <c r="L10" s="165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6</v>
      </c>
      <c r="G11" s="19" t="s">
        <v>7</v>
      </c>
      <c r="H11" s="18" t="s">
        <v>8</v>
      </c>
      <c r="I11" s="19" t="s">
        <v>9</v>
      </c>
      <c r="J11" s="18" t="s">
        <v>8</v>
      </c>
      <c r="K11" s="18" t="s">
        <v>10</v>
      </c>
      <c r="L11" s="18" t="s">
        <v>8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245972</v>
      </c>
      <c r="H12" s="42"/>
      <c r="I12" s="25">
        <v>1106</v>
      </c>
      <c r="J12" s="42"/>
      <c r="K12" s="25">
        <f>+I12+G12</f>
        <v>247078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273549</v>
      </c>
      <c r="H13" s="43">
        <f>+G13/G12-1</f>
        <v>0.11211438700339871</v>
      </c>
      <c r="I13" s="25">
        <v>1105</v>
      </c>
      <c r="J13" s="43">
        <f>+I13/I12-1</f>
        <v>-9.0415913200725395E-4</v>
      </c>
      <c r="K13" s="25">
        <f>+I13+G13</f>
        <v>274654</v>
      </c>
      <c r="L13" s="43">
        <f>+K13/K12-1</f>
        <v>0.11160847991322576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292699</v>
      </c>
      <c r="H14" s="43">
        <f t="shared" ref="H14:J26" si="0">+G14/G13-1</f>
        <v>7.0005739373933062E-2</v>
      </c>
      <c r="I14" s="25">
        <v>945</v>
      </c>
      <c r="J14" s="43">
        <f t="shared" si="0"/>
        <v>-0.14479638009049778</v>
      </c>
      <c r="K14" s="25">
        <f t="shared" ref="K14:K26" si="1">+I14+G14</f>
        <v>293644</v>
      </c>
      <c r="L14" s="43">
        <f t="shared" ref="L14:L26" si="2">+K14/K13-1</f>
        <v>6.914153808063972E-2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334097</v>
      </c>
      <c r="H15" s="43">
        <f t="shared" si="0"/>
        <v>0.14143539950597717</v>
      </c>
      <c r="I15" s="25">
        <v>1090</v>
      </c>
      <c r="J15" s="43">
        <f t="shared" si="0"/>
        <v>0.15343915343915349</v>
      </c>
      <c r="K15" s="25">
        <f t="shared" si="1"/>
        <v>335187</v>
      </c>
      <c r="L15" s="43">
        <f t="shared" si="2"/>
        <v>0.14147402977755386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353586</v>
      </c>
      <c r="H16" s="43">
        <f t="shared" si="0"/>
        <v>5.8333358276189351E-2</v>
      </c>
      <c r="I16" s="25">
        <v>1107</v>
      </c>
      <c r="J16" s="43">
        <f t="shared" si="0"/>
        <v>1.5596330275229331E-2</v>
      </c>
      <c r="K16" s="25">
        <f t="shared" si="1"/>
        <v>354693</v>
      </c>
      <c r="L16" s="43">
        <f t="shared" si="2"/>
        <v>5.819438104699759E-2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417613</v>
      </c>
      <c r="H17" s="43">
        <f t="shared" si="0"/>
        <v>0.18107900199668547</v>
      </c>
      <c r="I17" s="25">
        <v>941</v>
      </c>
      <c r="J17" s="43">
        <f t="shared" si="0"/>
        <v>-0.14995483288166211</v>
      </c>
      <c r="K17" s="25">
        <f t="shared" si="1"/>
        <v>418554</v>
      </c>
      <c r="L17" s="43">
        <f t="shared" si="2"/>
        <v>0.18004584246094502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430131</v>
      </c>
      <c r="H18" s="43">
        <f t="shared" si="0"/>
        <v>2.997512050630613E-2</v>
      </c>
      <c r="I18" s="25">
        <v>1854</v>
      </c>
      <c r="J18" s="43">
        <f t="shared" si="0"/>
        <v>0.97024442082890539</v>
      </c>
      <c r="K18" s="25">
        <f t="shared" si="1"/>
        <v>431985</v>
      </c>
      <c r="L18" s="43">
        <f t="shared" si="2"/>
        <v>3.2089049441649031E-2</v>
      </c>
      <c r="M18" s="181" t="s">
        <v>11</v>
      </c>
      <c r="N18" s="182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489297</v>
      </c>
      <c r="H19" s="43">
        <f t="shared" si="0"/>
        <v>0.13755344302084715</v>
      </c>
      <c r="I19" s="25">
        <v>2772</v>
      </c>
      <c r="J19" s="43">
        <f t="shared" si="0"/>
        <v>0.49514563106796117</v>
      </c>
      <c r="K19" s="25">
        <f t="shared" si="1"/>
        <v>492069</v>
      </c>
      <c r="L19" s="43">
        <f t="shared" si="2"/>
        <v>0.13908816278342995</v>
      </c>
      <c r="M19" s="181"/>
      <c r="N19" s="182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484929</v>
      </c>
      <c r="H20" s="43">
        <f t="shared" si="0"/>
        <v>-8.9270933604742586E-3</v>
      </c>
      <c r="I20" s="25">
        <v>3431</v>
      </c>
      <c r="J20" s="43">
        <f t="shared" si="0"/>
        <v>0.2377344877344878</v>
      </c>
      <c r="K20" s="25">
        <f t="shared" si="1"/>
        <v>488360</v>
      </c>
      <c r="L20" s="43">
        <f t="shared" si="2"/>
        <v>-7.5375607892389507E-3</v>
      </c>
      <c r="M20" s="181"/>
      <c r="N20" s="182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517559</v>
      </c>
      <c r="H21" s="43">
        <f t="shared" si="0"/>
        <v>6.7288200953129262E-2</v>
      </c>
      <c r="I21" s="25">
        <v>2876</v>
      </c>
      <c r="J21" s="43">
        <f t="shared" si="0"/>
        <v>-0.1617604197027106</v>
      </c>
      <c r="K21" s="25">
        <f t="shared" si="1"/>
        <v>520435</v>
      </c>
      <c r="L21" s="43">
        <f t="shared" si="2"/>
        <v>6.5679007289704217E-2</v>
      </c>
      <c r="M21" s="181"/>
      <c r="N21" s="182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593253</v>
      </c>
      <c r="H22" s="43">
        <f t="shared" si="0"/>
        <v>0.14625192490131567</v>
      </c>
      <c r="I22" s="25">
        <v>5727</v>
      </c>
      <c r="J22" s="43">
        <f t="shared" si="0"/>
        <v>0.99130737134909586</v>
      </c>
      <c r="K22" s="25">
        <f t="shared" si="1"/>
        <v>598980</v>
      </c>
      <c r="L22" s="43">
        <f t="shared" si="2"/>
        <v>0.15092182501176898</v>
      </c>
      <c r="M22" s="181"/>
      <c r="N22" s="182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681428</v>
      </c>
      <c r="H23" s="43">
        <f t="shared" si="0"/>
        <v>0.14862967401766203</v>
      </c>
      <c r="I23" s="25">
        <v>4071</v>
      </c>
      <c r="J23" s="43">
        <f t="shared" si="0"/>
        <v>-0.28915662650602414</v>
      </c>
      <c r="K23" s="25">
        <f t="shared" si="1"/>
        <v>685499</v>
      </c>
      <c r="L23" s="43">
        <f t="shared" si="2"/>
        <v>0.14444388794283625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828341</v>
      </c>
      <c r="H24" s="43">
        <f t="shared" si="0"/>
        <v>0.2155957782773823</v>
      </c>
      <c r="I24" s="25">
        <v>3176</v>
      </c>
      <c r="J24" s="43">
        <f t="shared" si="0"/>
        <v>-0.21984770326701053</v>
      </c>
      <c r="K24" s="25">
        <f t="shared" si="1"/>
        <v>831517</v>
      </c>
      <c r="L24" s="43">
        <f t="shared" si="2"/>
        <v>0.21300979286621868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784881</v>
      </c>
      <c r="H25" s="43">
        <f t="shared" si="0"/>
        <v>-5.2466315201106783E-2</v>
      </c>
      <c r="I25" s="25">
        <v>4241</v>
      </c>
      <c r="J25" s="43">
        <f t="shared" si="0"/>
        <v>0.3353274559193955</v>
      </c>
      <c r="K25" s="25">
        <f t="shared" si="1"/>
        <v>789122</v>
      </c>
      <c r="L25" s="43">
        <f t="shared" si="2"/>
        <v>-5.0985127183208467E-2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797753</v>
      </c>
      <c r="H26" s="43">
        <f t="shared" si="0"/>
        <v>1.6399938334600961E-2</v>
      </c>
      <c r="I26" s="25">
        <v>4319</v>
      </c>
      <c r="J26" s="43">
        <f t="shared" si="0"/>
        <v>1.8391888705493908E-2</v>
      </c>
      <c r="K26" s="25">
        <f t="shared" si="1"/>
        <v>802072</v>
      </c>
      <c r="L26" s="43">
        <f t="shared" si="2"/>
        <v>1.6410643728092644E-2</v>
      </c>
      <c r="M26" s="45">
        <f>+(K26/K16)^(1/10)-1</f>
        <v>8.501582840752997E-2</v>
      </c>
      <c r="N26" s="33"/>
      <c r="O26" s="32"/>
    </row>
    <row r="27" spans="2:15" ht="15" customHeight="1" x14ac:dyDescent="0.25">
      <c r="B27" s="31"/>
      <c r="C27" s="180" t="s">
        <v>12</v>
      </c>
      <c r="D27" s="180"/>
      <c r="E27" s="33"/>
      <c r="F27" s="166" t="s">
        <v>13</v>
      </c>
      <c r="G27" s="166"/>
      <c r="H27" s="166"/>
      <c r="I27" s="166"/>
      <c r="J27" s="166"/>
      <c r="K27" s="166"/>
      <c r="L27" s="166"/>
      <c r="M27" s="33"/>
      <c r="N27" s="33"/>
      <c r="O27" s="32"/>
    </row>
    <row r="28" spans="2:15" x14ac:dyDescent="0.25">
      <c r="B28" s="31"/>
      <c r="C28" s="180"/>
      <c r="D28" s="180"/>
      <c r="E28" s="33"/>
      <c r="F28" s="44">
        <v>2007</v>
      </c>
      <c r="G28" s="26">
        <f>+G16/K16</f>
        <v>0.99687899112753842</v>
      </c>
      <c r="H28" s="27"/>
      <c r="I28" s="26">
        <f>+I16/K16</f>
        <v>3.1210088724615372E-3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0"/>
      <c r="D29" s="180"/>
      <c r="E29" s="33"/>
      <c r="F29" s="44">
        <v>2012</v>
      </c>
      <c r="G29" s="26">
        <f>+G21/K21</f>
        <v>0.9944738536032357</v>
      </c>
      <c r="H29" s="27"/>
      <c r="I29" s="26">
        <f>+I21/K21</f>
        <v>5.5261463967642456E-3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0"/>
      <c r="D30" s="180"/>
      <c r="E30" s="33"/>
      <c r="F30" s="44">
        <v>2017</v>
      </c>
      <c r="G30" s="26">
        <f>+G26/K26</f>
        <v>0.99461519664070064</v>
      </c>
      <c r="H30" s="27"/>
      <c r="I30" s="26">
        <f>+I26/K26</f>
        <v>5.3848033592994145E-3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67" t="s">
        <v>14</v>
      </c>
      <c r="G31" s="167"/>
      <c r="H31" s="167"/>
      <c r="I31" s="167"/>
      <c r="J31" s="167"/>
      <c r="K31" s="167"/>
      <c r="L31" s="167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103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56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141,460 arribos en esta región (equivalente al 38.9% de este total), Lima Provincias con 43,993 arribos (12.1%)  y Ucayali con 32,222 arribos (8.9 %). En tanto  Estados Unidos (Usa) es el principal lugar de procedencia de los huespedes del exterior con 883  arribos (equivalente al 20.4 % de los arribos del exterior), le sigue Argentina  con  305  arribos (7.1 %) y Colombia con 276 (6.4 %) entre las principales.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32"/>
    </row>
    <row r="37" spans="2:15" x14ac:dyDescent="0.25">
      <c r="B37" s="31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32"/>
    </row>
    <row r="38" spans="2:15" x14ac:dyDescent="0.25">
      <c r="B38" s="31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71" t="s">
        <v>29</v>
      </c>
      <c r="E40" s="171"/>
      <c r="F40" s="171"/>
      <c r="G40" s="171"/>
      <c r="H40" s="171"/>
      <c r="I40" s="33"/>
      <c r="J40" s="160" t="s">
        <v>53</v>
      </c>
      <c r="K40" s="160"/>
      <c r="L40" s="160"/>
      <c r="M40" s="160"/>
      <c r="N40" s="33"/>
      <c r="O40" s="32"/>
    </row>
    <row r="41" spans="2:15" x14ac:dyDescent="0.25">
      <c r="B41" s="31"/>
      <c r="C41" s="28"/>
      <c r="D41" s="171"/>
      <c r="E41" s="171"/>
      <c r="F41" s="171"/>
      <c r="G41" s="171"/>
      <c r="H41" s="171"/>
      <c r="I41" s="33"/>
      <c r="J41" s="160"/>
      <c r="K41" s="160"/>
      <c r="L41" s="160"/>
      <c r="M41" s="160"/>
      <c r="N41" s="33"/>
      <c r="O41" s="32"/>
    </row>
    <row r="42" spans="2:15" x14ac:dyDescent="0.25">
      <c r="B42" s="31"/>
      <c r="C42" s="60"/>
      <c r="D42" s="20" t="s">
        <v>5</v>
      </c>
      <c r="E42" s="20" t="s">
        <v>15</v>
      </c>
      <c r="F42" s="20" t="s">
        <v>16</v>
      </c>
      <c r="G42" s="20" t="s">
        <v>17</v>
      </c>
      <c r="H42" s="20" t="s">
        <v>33</v>
      </c>
      <c r="I42" s="100"/>
      <c r="J42" s="20" t="s">
        <v>18</v>
      </c>
      <c r="K42" s="20" t="s">
        <v>15</v>
      </c>
      <c r="L42" s="20" t="s">
        <v>17</v>
      </c>
      <c r="M42" s="20" t="s">
        <v>33</v>
      </c>
      <c r="N42" s="33"/>
      <c r="O42" s="32"/>
    </row>
    <row r="43" spans="2:15" x14ac:dyDescent="0.25">
      <c r="B43" s="31"/>
      <c r="C43" s="28"/>
      <c r="D43" s="22" t="s">
        <v>27</v>
      </c>
      <c r="E43" s="47">
        <v>141460</v>
      </c>
      <c r="F43" s="50">
        <f t="shared" ref="F43:F51" si="3">+E43/E$51</f>
        <v>0.38865093124016076</v>
      </c>
      <c r="G43" s="50">
        <f t="shared" ref="G43:G50" si="4">+E43/E$54</f>
        <v>0.17732305613391613</v>
      </c>
      <c r="H43" s="52">
        <v>1.3041666666666667</v>
      </c>
      <c r="I43" s="33"/>
      <c r="J43" s="22" t="s">
        <v>35</v>
      </c>
      <c r="K43" s="47">
        <v>883</v>
      </c>
      <c r="L43" s="50">
        <f t="shared" ref="L43:L54" si="5">+K43/K$54</f>
        <v>0.20444547348923361</v>
      </c>
      <c r="M43" s="52">
        <v>1.6650000000000003</v>
      </c>
      <c r="N43" s="33"/>
      <c r="O43" s="32"/>
    </row>
    <row r="44" spans="2:15" x14ac:dyDescent="0.25">
      <c r="B44" s="31"/>
      <c r="C44" s="28"/>
      <c r="D44" s="22" t="s">
        <v>28</v>
      </c>
      <c r="E44" s="47">
        <v>43993</v>
      </c>
      <c r="F44" s="50">
        <f t="shared" si="3"/>
        <v>0.12086752734376073</v>
      </c>
      <c r="G44" s="50">
        <f t="shared" si="4"/>
        <v>5.5146141725571703E-2</v>
      </c>
      <c r="H44" s="52">
        <v>1.1833333333333333</v>
      </c>
      <c r="I44" s="33"/>
      <c r="J44" s="22" t="s">
        <v>26</v>
      </c>
      <c r="K44" s="47">
        <v>305</v>
      </c>
      <c r="L44" s="50">
        <f t="shared" si="5"/>
        <v>7.0618198657096551E-2</v>
      </c>
      <c r="M44" s="52">
        <v>1.3499999999999999</v>
      </c>
      <c r="N44" s="33"/>
      <c r="O44" s="32"/>
    </row>
    <row r="45" spans="2:15" x14ac:dyDescent="0.25">
      <c r="B45" s="31"/>
      <c r="C45" s="28"/>
      <c r="D45" s="22" t="s">
        <v>3</v>
      </c>
      <c r="E45" s="47">
        <v>32222</v>
      </c>
      <c r="F45" s="50">
        <f t="shared" si="3"/>
        <v>8.8527571797119051E-2</v>
      </c>
      <c r="G45" s="50">
        <f t="shared" si="4"/>
        <v>4.0390948075406802E-2</v>
      </c>
      <c r="H45" s="52">
        <v>1.1975</v>
      </c>
      <c r="I45" s="33"/>
      <c r="J45" s="22" t="s">
        <v>44</v>
      </c>
      <c r="K45" s="47">
        <v>276</v>
      </c>
      <c r="L45" s="50">
        <f t="shared" si="5"/>
        <v>6.3903681407733268E-2</v>
      </c>
      <c r="M45" s="52">
        <v>2.6041666666666665</v>
      </c>
      <c r="N45" s="33"/>
      <c r="O45" s="32"/>
    </row>
    <row r="46" spans="2:15" x14ac:dyDescent="0.25">
      <c r="B46" s="31"/>
      <c r="C46" s="28"/>
      <c r="D46" s="22" t="s">
        <v>46</v>
      </c>
      <c r="E46" s="47">
        <v>31625</v>
      </c>
      <c r="F46" s="50">
        <f t="shared" si="3"/>
        <v>8.688735826714325E-2</v>
      </c>
      <c r="G46" s="50">
        <f t="shared" si="4"/>
        <v>3.9642596141913601E-2</v>
      </c>
      <c r="H46" s="52">
        <v>1.1558333333333335</v>
      </c>
      <c r="I46" s="33"/>
      <c r="J46" s="22" t="s">
        <v>38</v>
      </c>
      <c r="K46" s="47">
        <v>272</v>
      </c>
      <c r="L46" s="50">
        <f t="shared" si="5"/>
        <v>6.2977541097476261E-2</v>
      </c>
      <c r="M46" s="52">
        <v>1.6091666666666666</v>
      </c>
      <c r="N46" s="33"/>
      <c r="O46" s="32"/>
    </row>
    <row r="47" spans="2:15" x14ac:dyDescent="0.25">
      <c r="B47" s="31"/>
      <c r="C47" s="28"/>
      <c r="D47" s="22" t="s">
        <v>45</v>
      </c>
      <c r="E47" s="47">
        <v>30138</v>
      </c>
      <c r="F47" s="50">
        <f t="shared" si="3"/>
        <v>8.2801935287119793E-2</v>
      </c>
      <c r="G47" s="50">
        <f t="shared" si="4"/>
        <v>3.7778610672727024E-2</v>
      </c>
      <c r="H47" s="52">
        <v>1.219166666666667</v>
      </c>
      <c r="I47" s="33"/>
      <c r="J47" s="22" t="s">
        <v>36</v>
      </c>
      <c r="K47" s="47">
        <v>226</v>
      </c>
      <c r="L47" s="50">
        <f t="shared" si="5"/>
        <v>5.2326927529520721E-2</v>
      </c>
      <c r="M47" s="52">
        <v>1.7983333333333338</v>
      </c>
      <c r="N47" s="33"/>
      <c r="O47" s="32"/>
    </row>
    <row r="48" spans="2:15" x14ac:dyDescent="0.25">
      <c r="B48" s="31"/>
      <c r="C48" s="28"/>
      <c r="D48" s="22" t="s">
        <v>2</v>
      </c>
      <c r="E48" s="47">
        <v>23530</v>
      </c>
      <c r="F48" s="50">
        <f t="shared" si="3"/>
        <v>6.4646941977102954E-2</v>
      </c>
      <c r="G48" s="50">
        <f t="shared" si="4"/>
        <v>2.9495345050410342E-2</v>
      </c>
      <c r="H48" s="52">
        <v>1.1875</v>
      </c>
      <c r="I48" s="33"/>
      <c r="J48" s="22" t="s">
        <v>22</v>
      </c>
      <c r="K48" s="47">
        <v>225</v>
      </c>
      <c r="L48" s="50">
        <f t="shared" si="5"/>
        <v>5.209539245195647E-2</v>
      </c>
      <c r="M48" s="52">
        <v>3.8958333333333335</v>
      </c>
      <c r="N48" s="33"/>
      <c r="O48" s="32"/>
    </row>
    <row r="49" spans="2:15" x14ac:dyDescent="0.25">
      <c r="B49" s="31"/>
      <c r="C49" s="28"/>
      <c r="D49" s="22" t="s">
        <v>113</v>
      </c>
      <c r="E49" s="47">
        <v>11250</v>
      </c>
      <c r="F49" s="50">
        <f t="shared" si="3"/>
        <v>3.0908546419141869E-2</v>
      </c>
      <c r="G49" s="50">
        <f t="shared" si="4"/>
        <v>1.4102109299494956E-2</v>
      </c>
      <c r="H49" s="52">
        <v>1.1591666666666667</v>
      </c>
      <c r="I49" s="33"/>
      <c r="J49" s="22" t="s">
        <v>20</v>
      </c>
      <c r="K49" s="47">
        <v>219</v>
      </c>
      <c r="L49" s="50">
        <f>+K49/K$54</f>
        <v>5.0706181986570967E-2</v>
      </c>
      <c r="M49" s="52">
        <v>1.3263636363636362</v>
      </c>
      <c r="N49" s="33"/>
      <c r="O49" s="32"/>
    </row>
    <row r="50" spans="2:15" x14ac:dyDescent="0.25">
      <c r="B50" s="31"/>
      <c r="C50" s="28"/>
      <c r="D50" s="22" t="s">
        <v>4</v>
      </c>
      <c r="E50" s="47">
        <f>49729+30</f>
        <v>49759</v>
      </c>
      <c r="F50" s="50">
        <f t="shared" si="3"/>
        <v>0.13670918766845158</v>
      </c>
      <c r="G50" s="50">
        <f t="shared" si="4"/>
        <v>6.2373942811872848E-2</v>
      </c>
      <c r="H50" s="52">
        <v>1.3094117647058825</v>
      </c>
      <c r="I50" s="33"/>
      <c r="J50" s="22" t="s">
        <v>41</v>
      </c>
      <c r="K50" s="47">
        <v>218</v>
      </c>
      <c r="L50" s="50">
        <f>+K50/K$54</f>
        <v>5.0474646909006715E-2</v>
      </c>
      <c r="M50" s="52">
        <v>1.3408333333333331</v>
      </c>
      <c r="N50" s="33"/>
      <c r="O50" s="32"/>
    </row>
    <row r="51" spans="2:15" x14ac:dyDescent="0.25">
      <c r="B51" s="31"/>
      <c r="C51" s="28"/>
      <c r="D51" s="48" t="s">
        <v>30</v>
      </c>
      <c r="E51" s="49">
        <f>SUM(E43:E50)</f>
        <v>363977</v>
      </c>
      <c r="F51" s="51">
        <f t="shared" si="3"/>
        <v>1</v>
      </c>
      <c r="G51" s="50"/>
      <c r="H51" s="28"/>
      <c r="I51" s="33"/>
      <c r="J51" s="22" t="s">
        <v>21</v>
      </c>
      <c r="K51" s="47">
        <v>202</v>
      </c>
      <c r="L51" s="50">
        <f t="shared" si="5"/>
        <v>4.6770085667978696E-2</v>
      </c>
      <c r="M51" s="52">
        <v>1.5924999999999996</v>
      </c>
      <c r="N51" s="33"/>
      <c r="O51" s="32"/>
    </row>
    <row r="52" spans="2:15" x14ac:dyDescent="0.25">
      <c r="B52" s="31"/>
      <c r="C52" s="28"/>
      <c r="D52" s="53" t="s">
        <v>31</v>
      </c>
      <c r="E52" s="39"/>
      <c r="F52" s="22"/>
      <c r="G52" s="50"/>
      <c r="H52" s="28"/>
      <c r="I52" s="33"/>
      <c r="J52" s="22" t="s">
        <v>126</v>
      </c>
      <c r="K52" s="47">
        <v>181</v>
      </c>
      <c r="L52" s="50">
        <f t="shared" si="5"/>
        <v>4.1907849039129426E-2</v>
      </c>
      <c r="M52" s="52">
        <v>1.3163636363636364</v>
      </c>
      <c r="N52" s="33"/>
      <c r="O52" s="32"/>
    </row>
    <row r="53" spans="2:15" x14ac:dyDescent="0.25">
      <c r="B53" s="31"/>
      <c r="C53" s="28"/>
      <c r="D53" s="22" t="s">
        <v>42</v>
      </c>
      <c r="E53" s="47">
        <v>433776</v>
      </c>
      <c r="F53" s="22"/>
      <c r="G53" s="50">
        <f>+E53/E$54</f>
        <v>0.54374725008868663</v>
      </c>
      <c r="H53" s="52">
        <v>1.1024999999999998</v>
      </c>
      <c r="I53" s="33"/>
      <c r="J53" s="22" t="s">
        <v>4</v>
      </c>
      <c r="K53" s="47">
        <f>1297+15</f>
        <v>1312</v>
      </c>
      <c r="L53" s="50">
        <f t="shared" si="5"/>
        <v>0.3037740217642973</v>
      </c>
      <c r="M53" s="52">
        <v>1.8211951772186148</v>
      </c>
      <c r="N53" s="33"/>
      <c r="O53" s="32"/>
    </row>
    <row r="54" spans="2:15" x14ac:dyDescent="0.25">
      <c r="B54" s="31"/>
      <c r="C54" s="28"/>
      <c r="D54" s="48" t="s">
        <v>10</v>
      </c>
      <c r="E54" s="49">
        <f>+E53+E51</f>
        <v>797753</v>
      </c>
      <c r="F54" s="48"/>
      <c r="G54" s="51">
        <f>+E54/E$54</f>
        <v>1</v>
      </c>
      <c r="H54" s="99">
        <v>1.2707666666666664</v>
      </c>
      <c r="I54" s="33"/>
      <c r="J54" s="48" t="s">
        <v>10</v>
      </c>
      <c r="K54" s="49">
        <f>SUM(K43:K53)</f>
        <v>4319</v>
      </c>
      <c r="L54" s="51">
        <f t="shared" si="5"/>
        <v>1</v>
      </c>
      <c r="M54" s="99">
        <v>1.8692500000000003</v>
      </c>
      <c r="N54" s="33"/>
      <c r="O54" s="32"/>
    </row>
    <row r="55" spans="2:15" x14ac:dyDescent="0.25">
      <c r="B55" s="31"/>
      <c r="C55" s="28"/>
      <c r="D55" s="53" t="s">
        <v>32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73" t="s">
        <v>34</v>
      </c>
      <c r="E56" s="173"/>
      <c r="F56" s="173"/>
      <c r="G56" s="173"/>
      <c r="H56" s="173"/>
      <c r="I56" s="173"/>
      <c r="J56" s="173"/>
      <c r="K56" s="173"/>
      <c r="L56" s="173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72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71" t="s">
        <v>67</v>
      </c>
      <c r="F62" s="171"/>
      <c r="G62" s="171"/>
      <c r="H62" s="171"/>
      <c r="I62" s="171"/>
      <c r="J62" s="171"/>
      <c r="K62" s="171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68</v>
      </c>
      <c r="F63" s="20" t="s">
        <v>59</v>
      </c>
      <c r="G63" s="20" t="s">
        <v>62</v>
      </c>
      <c r="H63" s="20" t="s">
        <v>60</v>
      </c>
      <c r="I63" s="20" t="s">
        <v>62</v>
      </c>
      <c r="J63" s="65" t="s">
        <v>61</v>
      </c>
      <c r="K63" s="20" t="s">
        <v>62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66</v>
      </c>
      <c r="F64" s="66">
        <f>SUM(F65:F70)</f>
        <v>48</v>
      </c>
      <c r="G64" s="72">
        <f>+F64/F72</f>
        <v>9.3385214007782102E-2</v>
      </c>
      <c r="H64" s="66">
        <f>SUM(H65:H70)</f>
        <v>1196</v>
      </c>
      <c r="I64" s="72">
        <f>+H64/H72</f>
        <v>0.1974574872048869</v>
      </c>
      <c r="J64" s="66">
        <f>SUM(J65:J70)</f>
        <v>1932</v>
      </c>
      <c r="K64" s="72">
        <f>+J64/J72</f>
        <v>0.20702957565366481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54</v>
      </c>
      <c r="F65" s="47">
        <v>13</v>
      </c>
      <c r="G65" s="68">
        <f t="shared" ref="G65:G70" si="6">+F65/F$64</f>
        <v>0.27083333333333331</v>
      </c>
      <c r="H65" s="47">
        <v>302</v>
      </c>
      <c r="I65" s="68">
        <f t="shared" ref="I65:I70" si="7">+H65/H$64</f>
        <v>0.25250836120401338</v>
      </c>
      <c r="J65" s="47">
        <v>484</v>
      </c>
      <c r="K65" s="68">
        <f t="shared" ref="K65:K70" si="8">+J65/J$64</f>
        <v>0.25051759834368531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55</v>
      </c>
      <c r="F66" s="47">
        <v>27</v>
      </c>
      <c r="G66" s="63">
        <f t="shared" si="6"/>
        <v>0.5625</v>
      </c>
      <c r="H66" s="47">
        <v>665</v>
      </c>
      <c r="I66" s="63">
        <f t="shared" si="7"/>
        <v>0.55602006688963213</v>
      </c>
      <c r="J66" s="47">
        <v>1035</v>
      </c>
      <c r="K66" s="63">
        <f t="shared" si="8"/>
        <v>0.5357142857142857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56</v>
      </c>
      <c r="F67" s="47">
        <v>8</v>
      </c>
      <c r="G67" s="63">
        <f t="shared" si="6"/>
        <v>0.16666666666666666</v>
      </c>
      <c r="H67" s="47">
        <v>229</v>
      </c>
      <c r="I67" s="63">
        <f t="shared" si="7"/>
        <v>0.19147157190635453</v>
      </c>
      <c r="J67" s="47">
        <v>413</v>
      </c>
      <c r="K67" s="63">
        <f t="shared" si="8"/>
        <v>0.21376811594202899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57</v>
      </c>
      <c r="F68" s="47">
        <v>0</v>
      </c>
      <c r="G68" s="63">
        <f t="shared" si="6"/>
        <v>0</v>
      </c>
      <c r="H68" s="47">
        <v>0</v>
      </c>
      <c r="I68" s="63">
        <f t="shared" si="7"/>
        <v>0</v>
      </c>
      <c r="J68" s="47">
        <v>0</v>
      </c>
      <c r="K68" s="63">
        <f t="shared" si="8"/>
        <v>0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58</v>
      </c>
      <c r="F69" s="47">
        <v>0</v>
      </c>
      <c r="G69" s="63">
        <f t="shared" si="6"/>
        <v>0</v>
      </c>
      <c r="H69" s="47">
        <v>0</v>
      </c>
      <c r="I69" s="63">
        <f t="shared" si="7"/>
        <v>0</v>
      </c>
      <c r="J69" s="47">
        <v>0</v>
      </c>
      <c r="K69" s="63">
        <f t="shared" si="8"/>
        <v>0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69</v>
      </c>
      <c r="F70" s="47">
        <v>0</v>
      </c>
      <c r="G70" s="63">
        <f t="shared" si="6"/>
        <v>0</v>
      </c>
      <c r="H70" s="47">
        <v>0</v>
      </c>
      <c r="I70" s="63">
        <f t="shared" si="7"/>
        <v>0</v>
      </c>
      <c r="J70" s="47">
        <v>0</v>
      </c>
      <c r="K70" s="63">
        <f t="shared" si="8"/>
        <v>0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64</v>
      </c>
      <c r="F71" s="70">
        <v>466</v>
      </c>
      <c r="G71" s="73">
        <f>+F71/F72</f>
        <v>0.9066147859922179</v>
      </c>
      <c r="H71" s="70">
        <v>4861</v>
      </c>
      <c r="I71" s="73">
        <f>+H71/H72</f>
        <v>0.80254251279511313</v>
      </c>
      <c r="J71" s="70">
        <v>7400</v>
      </c>
      <c r="K71" s="73">
        <f>+J71/J72</f>
        <v>0.79297042434633525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65</v>
      </c>
      <c r="F72" s="66">
        <f>+F71+F64</f>
        <v>514</v>
      </c>
      <c r="G72" s="67"/>
      <c r="H72" s="66">
        <f>+H71+H64</f>
        <v>6057</v>
      </c>
      <c r="I72" s="67"/>
      <c r="J72" s="66">
        <f>+J71+J64</f>
        <v>9332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79" t="s">
        <v>71</v>
      </c>
      <c r="F73" s="179"/>
      <c r="G73" s="179"/>
      <c r="H73" s="179"/>
      <c r="I73" s="179"/>
      <c r="J73" s="179"/>
      <c r="K73" s="179"/>
      <c r="L73" s="28"/>
      <c r="M73" s="28"/>
      <c r="N73" s="33"/>
      <c r="O73" s="32"/>
    </row>
    <row r="74" spans="2:15" x14ac:dyDescent="0.25">
      <c r="B74" s="31"/>
      <c r="C74" s="28"/>
      <c r="D74" s="28"/>
      <c r="E74" s="179"/>
      <c r="F74" s="179"/>
      <c r="G74" s="179"/>
      <c r="H74" s="179"/>
      <c r="I74" s="179"/>
      <c r="J74" s="179"/>
      <c r="K74" s="179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70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63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</sheetData>
  <mergeCells count="13">
    <mergeCell ref="B1:O2"/>
    <mergeCell ref="C7:N8"/>
    <mergeCell ref="F10:L10"/>
    <mergeCell ref="M18:N22"/>
    <mergeCell ref="C27:D30"/>
    <mergeCell ref="F27:L27"/>
    <mergeCell ref="E73:K74"/>
    <mergeCell ref="F31:L31"/>
    <mergeCell ref="C36:N38"/>
    <mergeCell ref="D40:H41"/>
    <mergeCell ref="J40:M41"/>
    <mergeCell ref="D56:L56"/>
    <mergeCell ref="E62:K6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4" t="s">
        <v>160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15" ht="1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101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56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759,969.0 arribos de turistas nacionales y extranjeros, mientras que el 2017 los  arribos de turistas extranjeros y nacionales sumaron 1,477,841.0, representando un  crecimiento promedio anual de 6.9%   en el periodo 2006 – 2016.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32"/>
    </row>
    <row r="8" spans="2:15" x14ac:dyDescent="0.25">
      <c r="B8" s="31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65" t="s">
        <v>102</v>
      </c>
      <c r="G10" s="165"/>
      <c r="H10" s="165"/>
      <c r="I10" s="165"/>
      <c r="J10" s="165"/>
      <c r="K10" s="165"/>
      <c r="L10" s="165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6</v>
      </c>
      <c r="G11" s="19" t="s">
        <v>7</v>
      </c>
      <c r="H11" s="18" t="s">
        <v>8</v>
      </c>
      <c r="I11" s="19" t="s">
        <v>9</v>
      </c>
      <c r="J11" s="18" t="s">
        <v>8</v>
      </c>
      <c r="K11" s="18" t="s">
        <v>10</v>
      </c>
      <c r="L11" s="18" t="s">
        <v>8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395041</v>
      </c>
      <c r="H12" s="42"/>
      <c r="I12" s="25">
        <v>95933</v>
      </c>
      <c r="J12" s="42"/>
      <c r="K12" s="25">
        <f>+I12+G12</f>
        <v>490974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444476</v>
      </c>
      <c r="H13" s="43">
        <f>+G13/G12-1</f>
        <v>0.12513890963216467</v>
      </c>
      <c r="I13" s="25">
        <v>112891</v>
      </c>
      <c r="J13" s="43">
        <f>+I13/I12-1</f>
        <v>0.17676920350661396</v>
      </c>
      <c r="K13" s="25">
        <f>+I13+G13</f>
        <v>557367</v>
      </c>
      <c r="L13" s="43">
        <f>+K13/K12-1</f>
        <v>0.13522711996969283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487410</v>
      </c>
      <c r="H14" s="43">
        <f t="shared" ref="H14:J26" si="0">+G14/G13-1</f>
        <v>9.6594641780433532E-2</v>
      </c>
      <c r="I14" s="25">
        <v>140294</v>
      </c>
      <c r="J14" s="43">
        <f t="shared" si="0"/>
        <v>0.24273857083381323</v>
      </c>
      <c r="K14" s="25">
        <f t="shared" ref="K14:K26" si="1">+I14+G14</f>
        <v>627704</v>
      </c>
      <c r="L14" s="43">
        <f t="shared" ref="L14:L26" si="2">+K14/K13-1</f>
        <v>0.12619512816510481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543501</v>
      </c>
      <c r="H15" s="43">
        <f t="shared" si="0"/>
        <v>0.11507970702283488</v>
      </c>
      <c r="I15" s="25">
        <v>142678</v>
      </c>
      <c r="J15" s="43">
        <f t="shared" si="0"/>
        <v>1.69928863672002E-2</v>
      </c>
      <c r="K15" s="25">
        <f t="shared" si="1"/>
        <v>686179</v>
      </c>
      <c r="L15" s="43">
        <f t="shared" si="2"/>
        <v>9.3156965703580008E-2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612966</v>
      </c>
      <c r="H16" s="43">
        <f t="shared" si="0"/>
        <v>0.12781025241903876</v>
      </c>
      <c r="I16" s="25">
        <v>147003</v>
      </c>
      <c r="J16" s="43">
        <f t="shared" si="0"/>
        <v>3.0313012517697135E-2</v>
      </c>
      <c r="K16" s="25">
        <f t="shared" si="1"/>
        <v>759969</v>
      </c>
      <c r="L16" s="43">
        <f t="shared" si="2"/>
        <v>0.10753753758130169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666834</v>
      </c>
      <c r="H17" s="43">
        <f t="shared" si="0"/>
        <v>8.7880893883184319E-2</v>
      </c>
      <c r="I17" s="25">
        <v>154835</v>
      </c>
      <c r="J17" s="43">
        <f t="shared" si="0"/>
        <v>5.3277824262089934E-2</v>
      </c>
      <c r="K17" s="25">
        <f t="shared" si="1"/>
        <v>821669</v>
      </c>
      <c r="L17" s="43">
        <f t="shared" si="2"/>
        <v>8.1187522122612821E-2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745969</v>
      </c>
      <c r="H18" s="43">
        <f t="shared" si="0"/>
        <v>0.11867271314899952</v>
      </c>
      <c r="I18" s="25">
        <v>158764</v>
      </c>
      <c r="J18" s="43">
        <f t="shared" si="0"/>
        <v>2.537539961894919E-2</v>
      </c>
      <c r="K18" s="25">
        <f t="shared" si="1"/>
        <v>904733</v>
      </c>
      <c r="L18" s="43">
        <f t="shared" si="2"/>
        <v>0.10109180217338132</v>
      </c>
      <c r="M18" s="181" t="s">
        <v>11</v>
      </c>
      <c r="N18" s="182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786604</v>
      </c>
      <c r="H19" s="43">
        <f t="shared" si="0"/>
        <v>5.4472772997269381E-2</v>
      </c>
      <c r="I19" s="25">
        <v>166252</v>
      </c>
      <c r="J19" s="43">
        <f t="shared" si="0"/>
        <v>4.7164344561739346E-2</v>
      </c>
      <c r="K19" s="25">
        <f t="shared" si="1"/>
        <v>952856</v>
      </c>
      <c r="L19" s="43">
        <f t="shared" si="2"/>
        <v>5.3190278236783683E-2</v>
      </c>
      <c r="M19" s="181"/>
      <c r="N19" s="182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897877</v>
      </c>
      <c r="H20" s="43">
        <f t="shared" si="0"/>
        <v>0.14145999766083062</v>
      </c>
      <c r="I20" s="25">
        <v>180443</v>
      </c>
      <c r="J20" s="43">
        <f t="shared" si="0"/>
        <v>8.5358371628611929E-2</v>
      </c>
      <c r="K20" s="25">
        <f t="shared" si="1"/>
        <v>1078320</v>
      </c>
      <c r="L20" s="43">
        <f t="shared" si="2"/>
        <v>0.13167152224470424</v>
      </c>
      <c r="M20" s="181"/>
      <c r="N20" s="182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979872</v>
      </c>
      <c r="H21" s="43">
        <f t="shared" si="0"/>
        <v>9.1320971580739929E-2</v>
      </c>
      <c r="I21" s="25">
        <v>197839</v>
      </c>
      <c r="J21" s="43">
        <f t="shared" si="0"/>
        <v>9.6407175673204337E-2</v>
      </c>
      <c r="K21" s="25">
        <f t="shared" si="1"/>
        <v>1177711</v>
      </c>
      <c r="L21" s="43">
        <f t="shared" si="2"/>
        <v>9.2172082498701791E-2</v>
      </c>
      <c r="M21" s="181"/>
      <c r="N21" s="182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1076911</v>
      </c>
      <c r="H22" s="43">
        <f t="shared" si="0"/>
        <v>9.9032322589072797E-2</v>
      </c>
      <c r="I22" s="25">
        <v>219507</v>
      </c>
      <c r="J22" s="43">
        <f t="shared" si="0"/>
        <v>0.10952340034068109</v>
      </c>
      <c r="K22" s="25">
        <f t="shared" si="1"/>
        <v>1296418</v>
      </c>
      <c r="L22" s="43">
        <f t="shared" si="2"/>
        <v>0.10079467713216572</v>
      </c>
      <c r="M22" s="181"/>
      <c r="N22" s="182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1254993</v>
      </c>
      <c r="H23" s="43">
        <f t="shared" si="0"/>
        <v>0.16536371157876562</v>
      </c>
      <c r="I23" s="25">
        <v>194581</v>
      </c>
      <c r="J23" s="43">
        <f t="shared" si="0"/>
        <v>-0.11355446523345492</v>
      </c>
      <c r="K23" s="25">
        <f t="shared" si="1"/>
        <v>1449574</v>
      </c>
      <c r="L23" s="43">
        <f t="shared" si="2"/>
        <v>0.11813782283183349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1226513</v>
      </c>
      <c r="H24" s="43">
        <f t="shared" si="0"/>
        <v>-2.2693353668108096E-2</v>
      </c>
      <c r="I24" s="25">
        <v>236031</v>
      </c>
      <c r="J24" s="43">
        <f t="shared" si="0"/>
        <v>0.2130218263859267</v>
      </c>
      <c r="K24" s="25">
        <f t="shared" si="1"/>
        <v>1462544</v>
      </c>
      <c r="L24" s="43">
        <f t="shared" si="2"/>
        <v>8.9474562871574292E-3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1214210</v>
      </c>
      <c r="H25" s="43">
        <f t="shared" si="0"/>
        <v>-1.0030876150517787E-2</v>
      </c>
      <c r="I25" s="25">
        <v>222917</v>
      </c>
      <c r="J25" s="43">
        <f t="shared" si="0"/>
        <v>-5.5560498409107262E-2</v>
      </c>
      <c r="K25" s="25">
        <f t="shared" si="1"/>
        <v>1437127</v>
      </c>
      <c r="L25" s="43">
        <f t="shared" si="2"/>
        <v>-1.7378622455119341E-2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1229259</v>
      </c>
      <c r="H26" s="43">
        <f t="shared" si="0"/>
        <v>1.2394066924172886E-2</v>
      </c>
      <c r="I26" s="25">
        <v>248582</v>
      </c>
      <c r="J26" s="43">
        <f t="shared" si="0"/>
        <v>0.11513253811956914</v>
      </c>
      <c r="K26" s="25">
        <f t="shared" si="1"/>
        <v>1477841</v>
      </c>
      <c r="L26" s="43">
        <f t="shared" si="2"/>
        <v>2.8330133662508583E-2</v>
      </c>
      <c r="M26" s="45">
        <f>+(K26/K16)^(1/10)-1</f>
        <v>6.8767363294042649E-2</v>
      </c>
      <c r="N26" s="33"/>
      <c r="O26" s="32"/>
    </row>
    <row r="27" spans="2:15" ht="15" customHeight="1" x14ac:dyDescent="0.25">
      <c r="B27" s="31"/>
      <c r="C27" s="180" t="s">
        <v>12</v>
      </c>
      <c r="D27" s="180"/>
      <c r="E27" s="33"/>
      <c r="F27" s="166" t="s">
        <v>13</v>
      </c>
      <c r="G27" s="166"/>
      <c r="H27" s="166"/>
      <c r="I27" s="166"/>
      <c r="J27" s="166"/>
      <c r="K27" s="166"/>
      <c r="L27" s="166"/>
      <c r="M27" s="33"/>
      <c r="N27" s="33"/>
      <c r="O27" s="32"/>
    </row>
    <row r="28" spans="2:15" x14ac:dyDescent="0.25">
      <c r="B28" s="31"/>
      <c r="C28" s="180"/>
      <c r="D28" s="180"/>
      <c r="E28" s="33"/>
      <c r="F28" s="44">
        <v>2007</v>
      </c>
      <c r="G28" s="26">
        <f>+G16/K16</f>
        <v>0.80656710997422265</v>
      </c>
      <c r="H28" s="27"/>
      <c r="I28" s="26">
        <f>+I16/K16</f>
        <v>0.19343289002577738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0"/>
      <c r="D29" s="180"/>
      <c r="E29" s="33"/>
      <c r="F29" s="44">
        <v>2012</v>
      </c>
      <c r="G29" s="26">
        <f>+G21/K21</f>
        <v>0.83201396607486899</v>
      </c>
      <c r="H29" s="27"/>
      <c r="I29" s="26">
        <f>+I21/K21</f>
        <v>0.16798603392513103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0"/>
      <c r="D30" s="180"/>
      <c r="E30" s="33"/>
      <c r="F30" s="44">
        <v>2017</v>
      </c>
      <c r="G30" s="26">
        <f>+G26/K26</f>
        <v>0.83179381273086883</v>
      </c>
      <c r="H30" s="27"/>
      <c r="I30" s="26">
        <f>+I26/K26</f>
        <v>0.16820618726913111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67" t="s">
        <v>14</v>
      </c>
      <c r="G31" s="167"/>
      <c r="H31" s="167"/>
      <c r="I31" s="167"/>
      <c r="J31" s="167"/>
      <c r="K31" s="167"/>
      <c r="L31" s="167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103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56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577,560 arribos en esta región (equivalente al 71.1% de este total), Lima Provincias con 98,670 arribos (12.2%)  y Arequipa con 25,421 arribos (3.1 %). En tanto  Estados Unidos (Usa) es el principal lugar de procedencia de los huespedes del exterior con 25,124  arribos (equivalente al 10.1 % de los arribos del exterior), le sigue Otro Pais De Europa  con  24,179  arribos (9.7 %) y Francia con 21,192 (8.5 %) entre las principales.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32"/>
    </row>
    <row r="37" spans="2:15" x14ac:dyDescent="0.25">
      <c r="B37" s="31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32"/>
    </row>
    <row r="38" spans="2:15" x14ac:dyDescent="0.25">
      <c r="B38" s="31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71" t="s">
        <v>29</v>
      </c>
      <c r="E40" s="171"/>
      <c r="F40" s="171"/>
      <c r="G40" s="171"/>
      <c r="H40" s="171"/>
      <c r="I40" s="33"/>
      <c r="J40" s="160" t="s">
        <v>53</v>
      </c>
      <c r="K40" s="160"/>
      <c r="L40" s="160"/>
      <c r="M40" s="160"/>
      <c r="N40" s="33"/>
      <c r="O40" s="32"/>
    </row>
    <row r="41" spans="2:15" x14ac:dyDescent="0.25">
      <c r="B41" s="31"/>
      <c r="C41" s="28"/>
      <c r="D41" s="171"/>
      <c r="E41" s="171"/>
      <c r="F41" s="171"/>
      <c r="G41" s="171"/>
      <c r="H41" s="171"/>
      <c r="I41" s="33"/>
      <c r="J41" s="160"/>
      <c r="K41" s="160"/>
      <c r="L41" s="160"/>
      <c r="M41" s="160"/>
      <c r="N41" s="33"/>
      <c r="O41" s="32"/>
    </row>
    <row r="42" spans="2:15" x14ac:dyDescent="0.25">
      <c r="B42" s="31"/>
      <c r="C42" s="60"/>
      <c r="D42" s="20" t="s">
        <v>5</v>
      </c>
      <c r="E42" s="20" t="s">
        <v>15</v>
      </c>
      <c r="F42" s="20" t="s">
        <v>16</v>
      </c>
      <c r="G42" s="20" t="s">
        <v>17</v>
      </c>
      <c r="H42" s="20" t="s">
        <v>33</v>
      </c>
      <c r="I42" s="100"/>
      <c r="J42" s="20" t="s">
        <v>18</v>
      </c>
      <c r="K42" s="20" t="s">
        <v>15</v>
      </c>
      <c r="L42" s="20" t="s">
        <v>17</v>
      </c>
      <c r="M42" s="20" t="s">
        <v>33</v>
      </c>
      <c r="N42" s="33"/>
      <c r="O42" s="32"/>
    </row>
    <row r="43" spans="2:15" x14ac:dyDescent="0.25">
      <c r="B43" s="31"/>
      <c r="C43" s="28"/>
      <c r="D43" s="22" t="s">
        <v>27</v>
      </c>
      <c r="E43" s="47">
        <v>577560</v>
      </c>
      <c r="F43" s="50">
        <f t="shared" ref="F43:F51" si="3">+E43/E$51</f>
        <v>0.7112037119129947</v>
      </c>
      <c r="G43" s="50">
        <f t="shared" ref="G43:G50" si="4">+E43/E$54</f>
        <v>0.46984402798759251</v>
      </c>
      <c r="H43" s="52">
        <v>1.2116666666666667</v>
      </c>
      <c r="I43" s="33"/>
      <c r="J43" s="22" t="s">
        <v>35</v>
      </c>
      <c r="K43" s="47">
        <v>25124</v>
      </c>
      <c r="L43" s="50">
        <f t="shared" ref="L43:L54" si="5">+K43/K$54</f>
        <v>0.10106926487034459</v>
      </c>
      <c r="M43" s="52">
        <v>1.61</v>
      </c>
      <c r="N43" s="33"/>
      <c r="O43" s="32"/>
    </row>
    <row r="44" spans="2:15" x14ac:dyDescent="0.25">
      <c r="B44" s="31"/>
      <c r="C44" s="28"/>
      <c r="D44" s="22" t="s">
        <v>28</v>
      </c>
      <c r="E44" s="47">
        <v>98670</v>
      </c>
      <c r="F44" s="50">
        <f t="shared" si="3"/>
        <v>0.12150161066288383</v>
      </c>
      <c r="G44" s="50">
        <f t="shared" si="4"/>
        <v>8.0267868691626415E-2</v>
      </c>
      <c r="H44" s="52">
        <v>1.2899999999999998</v>
      </c>
      <c r="I44" s="33"/>
      <c r="J44" s="22" t="s">
        <v>38</v>
      </c>
      <c r="K44" s="47">
        <v>24179</v>
      </c>
      <c r="L44" s="50">
        <f t="shared" si="5"/>
        <v>9.7267702408058501E-2</v>
      </c>
      <c r="M44" s="52">
        <v>1.5066666666666666</v>
      </c>
      <c r="N44" s="33"/>
      <c r="O44" s="32"/>
    </row>
    <row r="45" spans="2:15" x14ac:dyDescent="0.25">
      <c r="B45" s="31"/>
      <c r="C45" s="28"/>
      <c r="D45" s="22" t="s">
        <v>125</v>
      </c>
      <c r="E45" s="47">
        <v>25421</v>
      </c>
      <c r="F45" s="50">
        <f t="shared" si="3"/>
        <v>3.1303257775019459E-2</v>
      </c>
      <c r="G45" s="50">
        <f t="shared" si="4"/>
        <v>2.0679938076516014E-2</v>
      </c>
      <c r="H45" s="52">
        <v>1.2391666666666663</v>
      </c>
      <c r="I45" s="33"/>
      <c r="J45" s="22" t="s">
        <v>20</v>
      </c>
      <c r="K45" s="47">
        <v>21192</v>
      </c>
      <c r="L45" s="50">
        <f t="shared" si="5"/>
        <v>8.5251546773298145E-2</v>
      </c>
      <c r="M45" s="52">
        <v>1.2333333333333334</v>
      </c>
      <c r="N45" s="33"/>
      <c r="O45" s="32"/>
    </row>
    <row r="46" spans="2:15" x14ac:dyDescent="0.25">
      <c r="B46" s="31"/>
      <c r="C46" s="28"/>
      <c r="D46" s="22" t="s">
        <v>115</v>
      </c>
      <c r="E46" s="47">
        <v>20198</v>
      </c>
      <c r="F46" s="50">
        <f t="shared" si="3"/>
        <v>2.4871688782496477E-2</v>
      </c>
      <c r="G46" s="50">
        <f t="shared" si="4"/>
        <v>1.6431036909227429E-2</v>
      </c>
      <c r="H46" s="52">
        <v>1.2416666666666667</v>
      </c>
      <c r="I46" s="33"/>
      <c r="J46" s="22" t="s">
        <v>21</v>
      </c>
      <c r="K46" s="47">
        <v>19035</v>
      </c>
      <c r="L46" s="50">
        <f t="shared" si="5"/>
        <v>7.6574329597476884E-2</v>
      </c>
      <c r="M46" s="52">
        <v>1.3058333333333334</v>
      </c>
      <c r="N46" s="33"/>
      <c r="O46" s="32"/>
    </row>
    <row r="47" spans="2:15" x14ac:dyDescent="0.25">
      <c r="B47" s="31"/>
      <c r="C47" s="28"/>
      <c r="D47" s="22" t="s">
        <v>116</v>
      </c>
      <c r="E47" s="47">
        <v>11979</v>
      </c>
      <c r="F47" s="50">
        <f t="shared" si="3"/>
        <v>1.4750864438336732E-2</v>
      </c>
      <c r="G47" s="50">
        <f t="shared" si="4"/>
        <v>9.7448950953379233E-3</v>
      </c>
      <c r="H47" s="52">
        <v>1.2066666666666668</v>
      </c>
      <c r="I47" s="33"/>
      <c r="J47" s="22" t="s">
        <v>36</v>
      </c>
      <c r="K47" s="47">
        <v>16123</v>
      </c>
      <c r="L47" s="50">
        <f t="shared" si="5"/>
        <v>6.4859885269247172E-2</v>
      </c>
      <c r="M47" s="52">
        <v>1.4308333333333334</v>
      </c>
      <c r="N47" s="33"/>
      <c r="O47" s="32"/>
    </row>
    <row r="48" spans="2:15" x14ac:dyDescent="0.25">
      <c r="B48" s="31"/>
      <c r="C48" s="28"/>
      <c r="D48" s="22" t="s">
        <v>123</v>
      </c>
      <c r="E48" s="47">
        <v>10156</v>
      </c>
      <c r="F48" s="50">
        <f t="shared" si="3"/>
        <v>1.2506033828846136E-2</v>
      </c>
      <c r="G48" s="50">
        <f t="shared" si="4"/>
        <v>8.2618878527633312E-3</v>
      </c>
      <c r="H48" s="52">
        <v>1.2391666666666667</v>
      </c>
      <c r="I48" s="33"/>
      <c r="J48" s="22" t="s">
        <v>22</v>
      </c>
      <c r="K48" s="47">
        <v>13598</v>
      </c>
      <c r="L48" s="50">
        <f t="shared" si="5"/>
        <v>5.4702271282715563E-2</v>
      </c>
      <c r="M48" s="52">
        <v>1.2191666666666665</v>
      </c>
      <c r="N48" s="33"/>
      <c r="O48" s="32"/>
    </row>
    <row r="49" spans="2:15" x14ac:dyDescent="0.25">
      <c r="B49" s="31"/>
      <c r="C49" s="28"/>
      <c r="D49" s="22" t="s">
        <v>114</v>
      </c>
      <c r="E49" s="47">
        <v>7331</v>
      </c>
      <c r="F49" s="50">
        <f t="shared" si="3"/>
        <v>9.0273467900030546E-3</v>
      </c>
      <c r="G49" s="50">
        <f t="shared" si="4"/>
        <v>5.9637554006112623E-3</v>
      </c>
      <c r="H49" s="52">
        <v>1.2225000000000001</v>
      </c>
      <c r="I49" s="33"/>
      <c r="J49" s="22" t="s">
        <v>44</v>
      </c>
      <c r="K49" s="47">
        <v>11103</v>
      </c>
      <c r="L49" s="50">
        <f>+K49/K$54</f>
        <v>4.4665341818796209E-2</v>
      </c>
      <c r="M49" s="52">
        <v>1.3866666666666667</v>
      </c>
      <c r="N49" s="33"/>
      <c r="O49" s="32"/>
    </row>
    <row r="50" spans="2:15" x14ac:dyDescent="0.25">
      <c r="B50" s="31"/>
      <c r="C50" s="28"/>
      <c r="D50" s="22" t="s">
        <v>4</v>
      </c>
      <c r="E50" s="47">
        <f>60713+60</f>
        <v>60773</v>
      </c>
      <c r="F50" s="50">
        <f t="shared" si="3"/>
        <v>7.4835485809419663E-2</v>
      </c>
      <c r="G50" s="50">
        <f t="shared" si="4"/>
        <v>4.943872690783635E-2</v>
      </c>
      <c r="H50" s="52">
        <v>1.3071568627450978</v>
      </c>
      <c r="I50" s="33"/>
      <c r="J50" s="22" t="s">
        <v>127</v>
      </c>
      <c r="K50" s="47">
        <v>10592</v>
      </c>
      <c r="L50" s="50">
        <f>+K50/K$54</f>
        <v>4.2609682116967439E-2</v>
      </c>
      <c r="M50" s="52">
        <v>1.2649999999999999</v>
      </c>
      <c r="N50" s="33"/>
      <c r="O50" s="32"/>
    </row>
    <row r="51" spans="2:15" x14ac:dyDescent="0.25">
      <c r="B51" s="31"/>
      <c r="C51" s="28"/>
      <c r="D51" s="48" t="s">
        <v>30</v>
      </c>
      <c r="E51" s="49">
        <f>SUM(E43:E50)</f>
        <v>812088</v>
      </c>
      <c r="F51" s="51">
        <f t="shared" si="3"/>
        <v>1</v>
      </c>
      <c r="G51" s="50"/>
      <c r="H51" s="28"/>
      <c r="I51" s="33"/>
      <c r="J51" s="22" t="s">
        <v>25</v>
      </c>
      <c r="K51" s="47">
        <v>10496</v>
      </c>
      <c r="L51" s="50">
        <f t="shared" si="5"/>
        <v>4.2223491644608216E-2</v>
      </c>
      <c r="M51" s="52">
        <v>1.3525</v>
      </c>
      <c r="N51" s="33"/>
      <c r="O51" s="32"/>
    </row>
    <row r="52" spans="2:15" x14ac:dyDescent="0.25">
      <c r="B52" s="31"/>
      <c r="C52" s="28"/>
      <c r="D52" s="53" t="s">
        <v>31</v>
      </c>
      <c r="E52" s="39"/>
      <c r="F52" s="22"/>
      <c r="G52" s="50"/>
      <c r="H52" s="28"/>
      <c r="I52" s="33"/>
      <c r="J52" s="22" t="s">
        <v>37</v>
      </c>
      <c r="K52" s="47">
        <v>9888</v>
      </c>
      <c r="L52" s="50">
        <f t="shared" si="5"/>
        <v>3.9777618652999815E-2</v>
      </c>
      <c r="M52" s="52">
        <v>1.3574999999999999</v>
      </c>
      <c r="N52" s="33"/>
      <c r="O52" s="32"/>
    </row>
    <row r="53" spans="2:15" x14ac:dyDescent="0.25">
      <c r="B53" s="31"/>
      <c r="C53" s="28"/>
      <c r="D53" s="22" t="s">
        <v>117</v>
      </c>
      <c r="E53" s="47">
        <v>417171</v>
      </c>
      <c r="F53" s="47"/>
      <c r="G53" s="50">
        <f>+E53/E$54</f>
        <v>0.33936786307848876</v>
      </c>
      <c r="H53" s="52">
        <v>1.4116666666666668</v>
      </c>
      <c r="I53" s="33"/>
      <c r="J53" s="22" t="s">
        <v>4</v>
      </c>
      <c r="K53" s="47">
        <f>87197+55</f>
        <v>87252</v>
      </c>
      <c r="L53" s="50">
        <f t="shared" si="5"/>
        <v>0.35099886556548743</v>
      </c>
      <c r="M53" s="52">
        <v>1.4500321447558286</v>
      </c>
      <c r="N53" s="33"/>
      <c r="O53" s="32"/>
    </row>
    <row r="54" spans="2:15" x14ac:dyDescent="0.25">
      <c r="B54" s="31"/>
      <c r="C54" s="28"/>
      <c r="D54" s="48" t="s">
        <v>10</v>
      </c>
      <c r="E54" s="49">
        <f>+E53+E51</f>
        <v>1229259</v>
      </c>
      <c r="F54" s="48"/>
      <c r="G54" s="51">
        <f>+E54/E$54</f>
        <v>1</v>
      </c>
      <c r="H54" s="99">
        <v>1.2913666666666674</v>
      </c>
      <c r="I54" s="33"/>
      <c r="J54" s="48" t="s">
        <v>10</v>
      </c>
      <c r="K54" s="49">
        <f>SUM(K43:K53)</f>
        <v>248582</v>
      </c>
      <c r="L54" s="51">
        <f t="shared" si="5"/>
        <v>1</v>
      </c>
      <c r="M54" s="99">
        <v>1.4225882352941166</v>
      </c>
      <c r="N54" s="33"/>
      <c r="O54" s="32"/>
    </row>
    <row r="55" spans="2:15" x14ac:dyDescent="0.25">
      <c r="B55" s="31"/>
      <c r="C55" s="28"/>
      <c r="D55" s="53" t="s">
        <v>32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73" t="s">
        <v>34</v>
      </c>
      <c r="E56" s="173"/>
      <c r="F56" s="173"/>
      <c r="G56" s="173"/>
      <c r="H56" s="173"/>
      <c r="I56" s="173"/>
      <c r="J56" s="173"/>
      <c r="K56" s="173"/>
      <c r="L56" s="173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72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71" t="s">
        <v>67</v>
      </c>
      <c r="F62" s="171"/>
      <c r="G62" s="171"/>
      <c r="H62" s="171"/>
      <c r="I62" s="171"/>
      <c r="J62" s="171"/>
      <c r="K62" s="171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68</v>
      </c>
      <c r="F63" s="20" t="s">
        <v>59</v>
      </c>
      <c r="G63" s="20" t="s">
        <v>62</v>
      </c>
      <c r="H63" s="20" t="s">
        <v>60</v>
      </c>
      <c r="I63" s="20" t="s">
        <v>62</v>
      </c>
      <c r="J63" s="65" t="s">
        <v>61</v>
      </c>
      <c r="K63" s="20" t="s">
        <v>62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66</v>
      </c>
      <c r="F64" s="66">
        <f>SUM(F65:F70)</f>
        <v>211</v>
      </c>
      <c r="G64" s="72">
        <f>+F64/F72</f>
        <v>0.25452352231604342</v>
      </c>
      <c r="H64" s="66">
        <f>SUM(H65:H70)</f>
        <v>5280</v>
      </c>
      <c r="I64" s="72">
        <f>+H64/H72</f>
        <v>0.45442809191840949</v>
      </c>
      <c r="J64" s="66">
        <f>SUM(J65:J70)</f>
        <v>9823</v>
      </c>
      <c r="K64" s="72">
        <f>+J64/J72</f>
        <v>0.4695731153496821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54</v>
      </c>
      <c r="F65" s="47">
        <v>19</v>
      </c>
      <c r="G65" s="68">
        <f t="shared" ref="G65:G70" si="6">+F65/F$64</f>
        <v>9.004739336492891E-2</v>
      </c>
      <c r="H65" s="47">
        <v>318</v>
      </c>
      <c r="I65" s="68">
        <f t="shared" ref="I65:I70" si="7">+H65/H$64</f>
        <v>6.0227272727272727E-2</v>
      </c>
      <c r="J65" s="47">
        <v>525</v>
      </c>
      <c r="K65" s="68">
        <f t="shared" ref="K65:K70" si="8">+J65/J$64</f>
        <v>5.3445994095490175E-2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55</v>
      </c>
      <c r="F66" s="47">
        <v>99</v>
      </c>
      <c r="G66" s="63">
        <f t="shared" si="6"/>
        <v>0.46919431279620855</v>
      </c>
      <c r="H66" s="47">
        <v>1893</v>
      </c>
      <c r="I66" s="63">
        <f t="shared" si="7"/>
        <v>0.35852272727272727</v>
      </c>
      <c r="J66" s="47">
        <v>3235</v>
      </c>
      <c r="K66" s="63">
        <f t="shared" si="8"/>
        <v>0.32932912552173471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56</v>
      </c>
      <c r="F67" s="47">
        <v>83</v>
      </c>
      <c r="G67" s="63">
        <f t="shared" si="6"/>
        <v>0.39336492890995262</v>
      </c>
      <c r="H67" s="47">
        <v>2240</v>
      </c>
      <c r="I67" s="63">
        <f t="shared" si="7"/>
        <v>0.42424242424242425</v>
      </c>
      <c r="J67" s="47">
        <v>4249</v>
      </c>
      <c r="K67" s="63">
        <f t="shared" si="8"/>
        <v>0.43255624554616717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57</v>
      </c>
      <c r="F68" s="47">
        <v>4</v>
      </c>
      <c r="G68" s="63">
        <f t="shared" si="6"/>
        <v>1.8957345971563982E-2</v>
      </c>
      <c r="H68" s="47">
        <v>334</v>
      </c>
      <c r="I68" s="63">
        <f t="shared" si="7"/>
        <v>6.3257575757575762E-2</v>
      </c>
      <c r="J68" s="47">
        <v>721</v>
      </c>
      <c r="K68" s="63">
        <f t="shared" si="8"/>
        <v>7.3399165224473178E-2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58</v>
      </c>
      <c r="F69" s="47">
        <v>4</v>
      </c>
      <c r="G69" s="63">
        <f t="shared" si="6"/>
        <v>1.8957345971563982E-2</v>
      </c>
      <c r="H69" s="47">
        <v>476</v>
      </c>
      <c r="I69" s="63">
        <f t="shared" si="7"/>
        <v>9.0151515151515149E-2</v>
      </c>
      <c r="J69" s="47">
        <v>1058</v>
      </c>
      <c r="K69" s="63">
        <f t="shared" si="8"/>
        <v>0.10770640333910211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69</v>
      </c>
      <c r="F70" s="47">
        <v>2</v>
      </c>
      <c r="G70" s="63">
        <f t="shared" si="6"/>
        <v>9.4786729857819912E-3</v>
      </c>
      <c r="H70" s="47">
        <v>19</v>
      </c>
      <c r="I70" s="63">
        <f t="shared" si="7"/>
        <v>3.5984848484848487E-3</v>
      </c>
      <c r="J70" s="47">
        <v>35</v>
      </c>
      <c r="K70" s="63">
        <f t="shared" si="8"/>
        <v>3.5630662730326782E-3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64</v>
      </c>
      <c r="F71" s="70">
        <v>618</v>
      </c>
      <c r="G71" s="73">
        <f>+F71/F72</f>
        <v>0.74547647768395653</v>
      </c>
      <c r="H71" s="70">
        <v>6339</v>
      </c>
      <c r="I71" s="73">
        <f>+H71/H72</f>
        <v>0.54557190808159051</v>
      </c>
      <c r="J71" s="70">
        <v>11096</v>
      </c>
      <c r="K71" s="73">
        <f>+J71/J72</f>
        <v>0.53042688465031784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65</v>
      </c>
      <c r="F72" s="66">
        <f>+F71+F64</f>
        <v>829</v>
      </c>
      <c r="G72" s="67"/>
      <c r="H72" s="66">
        <f>+H71+H64</f>
        <v>11619</v>
      </c>
      <c r="I72" s="67"/>
      <c r="J72" s="66">
        <f>+J71+J64</f>
        <v>20919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79" t="s">
        <v>71</v>
      </c>
      <c r="F73" s="179"/>
      <c r="G73" s="179"/>
      <c r="H73" s="179"/>
      <c r="I73" s="179"/>
      <c r="J73" s="179"/>
      <c r="K73" s="179"/>
      <c r="L73" s="28"/>
      <c r="M73" s="28"/>
      <c r="N73" s="33"/>
      <c r="O73" s="32"/>
    </row>
    <row r="74" spans="2:15" x14ac:dyDescent="0.25">
      <c r="B74" s="31"/>
      <c r="C74" s="28"/>
      <c r="D74" s="28"/>
      <c r="E74" s="179"/>
      <c r="F74" s="179"/>
      <c r="G74" s="179"/>
      <c r="H74" s="179"/>
      <c r="I74" s="179"/>
      <c r="J74" s="179"/>
      <c r="K74" s="179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70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63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</sheetData>
  <mergeCells count="13">
    <mergeCell ref="B1:O2"/>
    <mergeCell ref="C7:N8"/>
    <mergeCell ref="F10:L10"/>
    <mergeCell ref="M18:N22"/>
    <mergeCell ref="C27:D30"/>
    <mergeCell ref="F27:L27"/>
    <mergeCell ref="E73:K74"/>
    <mergeCell ref="F31:L31"/>
    <mergeCell ref="C36:N38"/>
    <mergeCell ref="D40:H41"/>
    <mergeCell ref="J40:M41"/>
    <mergeCell ref="D56:L56"/>
    <mergeCell ref="E62:K6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2018-03-26T15:00:21Z</dcterms:modified>
</cp:coreProperties>
</file>